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10065" activeTab="12"/>
  </bookViews>
  <sheets>
    <sheet name="Instructions" sheetId="30" r:id="rId1"/>
    <sheet name="Model" sheetId="14" r:id="rId2"/>
    <sheet name="1" sheetId="18" state="hidden" r:id="rId3"/>
    <sheet name="1 (2)" sheetId="19" state="hidden" r:id="rId4"/>
    <sheet name="1 (3)" sheetId="20" state="hidden" r:id="rId5"/>
    <sheet name="1 (4)" sheetId="21" state="hidden" r:id="rId6"/>
    <sheet name="1 (5)" sheetId="22" state="hidden" r:id="rId7"/>
    <sheet name="1 (6)" sheetId="23" state="hidden" r:id="rId8"/>
    <sheet name="1 (7)" sheetId="24" state="hidden" r:id="rId9"/>
    <sheet name="1 (8)" sheetId="25" state="hidden" r:id="rId10"/>
    <sheet name="1 (9)" sheetId="26" state="hidden" r:id="rId11"/>
    <sheet name="1 (10)" sheetId="27" state="hidden" r:id="rId12"/>
    <sheet name="Summary" sheetId="28" r:id="rId13"/>
    <sheet name="CountyPopChrt (2)" sheetId="29" r:id="rId14"/>
    <sheet name="CountyPopChrt" sheetId="15" r:id="rId15"/>
    <sheet name="CountyOwn" sheetId="17" r:id="rId16"/>
    <sheet name="CountyRent" sheetId="16" r:id="rId17"/>
    <sheet name="DataSets" sheetId="2" state="hidden" r:id="rId18"/>
    <sheet name="forecasts" sheetId="3" state="hidden" r:id="rId19"/>
    <sheet name="NH SimShift" sheetId="4" state="hidden" r:id="rId20"/>
  </sheets>
  <definedNames>
    <definedName name="_xlnm.Print_Area" localSheetId="2">'1'!$A$3:$H$58</definedName>
    <definedName name="_xlnm.Print_Area" localSheetId="11">'1 (10)'!$A$3:$H$58</definedName>
    <definedName name="_xlnm.Print_Area" localSheetId="3">'1 (2)'!$A$3:$H$58</definedName>
    <definedName name="_xlnm.Print_Area" localSheetId="4">'1 (3)'!$A$3:$H$58</definedName>
    <definedName name="_xlnm.Print_Area" localSheetId="5">'1 (4)'!$A$3:$H$58</definedName>
    <definedName name="_xlnm.Print_Area" localSheetId="6">'1 (5)'!$A$3:$H$58</definedName>
    <definedName name="_xlnm.Print_Area" localSheetId="7">'1 (6)'!$A$3:$H$58</definedName>
    <definedName name="_xlnm.Print_Area" localSheetId="8">'1 (7)'!$A$3:$H$58</definedName>
    <definedName name="_xlnm.Print_Area" localSheetId="9">'1 (8)'!$A$3:$H$58</definedName>
    <definedName name="_xlnm.Print_Area" localSheetId="10">'1 (9)'!$A$3:$H$58</definedName>
    <definedName name="_xlnm.Print_Area" localSheetId="1">Model!$A$3:$H$58</definedName>
    <definedName name="_xlnm.Print_Area" localSheetId="19">'NH SimShift'!$A$1:$H$57</definedName>
  </definedNames>
  <calcPr calcId="145621"/>
</workbook>
</file>

<file path=xl/calcChain.xml><?xml version="1.0" encoding="utf-8"?>
<calcChain xmlns="http://schemas.openxmlformats.org/spreadsheetml/2006/main">
  <c r="H10" i="28" l="1"/>
  <c r="F24" i="14"/>
  <c r="F23" i="14"/>
  <c r="E24" i="14"/>
  <c r="E23" i="14"/>
  <c r="F22" i="14"/>
  <c r="E22" i="14"/>
  <c r="I2" i="3"/>
  <c r="R11" i="3"/>
  <c r="R10" i="3"/>
  <c r="R9" i="3"/>
  <c r="R8" i="3"/>
  <c r="R7" i="3"/>
  <c r="R6" i="3"/>
  <c r="B37" i="26" s="1"/>
  <c r="R5" i="3"/>
  <c r="R4" i="3"/>
  <c r="R3" i="3"/>
  <c r="J4" i="3"/>
  <c r="B35" i="14" s="1"/>
  <c r="K4" i="3"/>
  <c r="L4" i="3"/>
  <c r="M4" i="3"/>
  <c r="N4" i="3"/>
  <c r="O4" i="3"/>
  <c r="P4" i="3"/>
  <c r="Q4" i="3"/>
  <c r="S4" i="3"/>
  <c r="T4" i="3"/>
  <c r="E6" i="14"/>
  <c r="F6" i="14"/>
  <c r="H6" i="14" s="1"/>
  <c r="H35" i="14" s="1"/>
  <c r="C6" i="14"/>
  <c r="D6" i="14" s="1"/>
  <c r="D35" i="14" s="1"/>
  <c r="B6" i="14"/>
  <c r="J5" i="3"/>
  <c r="T5" i="3" s="1"/>
  <c r="K5" i="3"/>
  <c r="L5" i="3"/>
  <c r="M5" i="3"/>
  <c r="N5" i="3"/>
  <c r="O5" i="3"/>
  <c r="P5" i="3"/>
  <c r="Q5" i="3"/>
  <c r="S5" i="3"/>
  <c r="B36" i="27" s="1"/>
  <c r="E7" i="14"/>
  <c r="C7" i="14" s="1"/>
  <c r="F7" i="14"/>
  <c r="H7" i="14" s="1"/>
  <c r="H36" i="14" s="1"/>
  <c r="B7" i="14"/>
  <c r="J6" i="3"/>
  <c r="K6" i="3"/>
  <c r="L6" i="3"/>
  <c r="T6" i="3" s="1"/>
  <c r="M6" i="3"/>
  <c r="N6" i="3"/>
  <c r="O6" i="3"/>
  <c r="P6" i="3"/>
  <c r="Q6" i="3"/>
  <c r="B37" i="25" s="1"/>
  <c r="S6" i="3"/>
  <c r="B37" i="14"/>
  <c r="E8" i="14"/>
  <c r="C8" i="14" s="1"/>
  <c r="F8" i="14"/>
  <c r="B8" i="14"/>
  <c r="J7" i="3"/>
  <c r="K7" i="3"/>
  <c r="L7" i="3"/>
  <c r="T7" i="3" s="1"/>
  <c r="M7" i="3"/>
  <c r="N7" i="3"/>
  <c r="O7" i="3"/>
  <c r="P7" i="3"/>
  <c r="B38" i="24" s="1"/>
  <c r="Q7" i="3"/>
  <c r="S7" i="3"/>
  <c r="B38" i="14"/>
  <c r="C38" i="14" s="1"/>
  <c r="E9" i="14"/>
  <c r="F9" i="14"/>
  <c r="C9" i="14"/>
  <c r="D9" i="14" s="1"/>
  <c r="D38" i="14" s="1"/>
  <c r="B9" i="14"/>
  <c r="H9" i="14"/>
  <c r="H38" i="14" s="1"/>
  <c r="J8" i="3"/>
  <c r="B39" i="14" s="1"/>
  <c r="K8" i="3"/>
  <c r="L8" i="3"/>
  <c r="M8" i="3"/>
  <c r="N8" i="3"/>
  <c r="O8" i="3"/>
  <c r="B39" i="23" s="1"/>
  <c r="P8" i="3"/>
  <c r="Q8" i="3"/>
  <c r="S8" i="3"/>
  <c r="T8" i="3"/>
  <c r="E10" i="14"/>
  <c r="F10" i="14"/>
  <c r="H10" i="14" s="1"/>
  <c r="H39" i="14" s="1"/>
  <c r="C10" i="14"/>
  <c r="D10" i="14" s="1"/>
  <c r="D39" i="14" s="1"/>
  <c r="B10" i="14"/>
  <c r="J9" i="3"/>
  <c r="T9" i="3" s="1"/>
  <c r="K9" i="3"/>
  <c r="L9" i="3"/>
  <c r="M9" i="3"/>
  <c r="N9" i="3"/>
  <c r="B40" i="22" s="1"/>
  <c r="O9" i="3"/>
  <c r="P9" i="3"/>
  <c r="Q9" i="3"/>
  <c r="S9" i="3"/>
  <c r="B40" i="27" s="1"/>
  <c r="E11" i="14"/>
  <c r="C11" i="14" s="1"/>
  <c r="F11" i="14"/>
  <c r="B11" i="14"/>
  <c r="J10" i="3"/>
  <c r="K10" i="3"/>
  <c r="L10" i="3"/>
  <c r="T10" i="3" s="1"/>
  <c r="M10" i="3"/>
  <c r="B41" i="21" s="1"/>
  <c r="N10" i="3"/>
  <c r="O10" i="3"/>
  <c r="P10" i="3"/>
  <c r="Q10" i="3"/>
  <c r="B41" i="25" s="1"/>
  <c r="S10" i="3"/>
  <c r="B41" i="14"/>
  <c r="E12" i="14"/>
  <c r="F12" i="14"/>
  <c r="B12" i="14"/>
  <c r="J11" i="3"/>
  <c r="K11" i="3"/>
  <c r="L11" i="3"/>
  <c r="M11" i="3"/>
  <c r="N11" i="3"/>
  <c r="O11" i="3"/>
  <c r="P11" i="3"/>
  <c r="B42" i="24" s="1"/>
  <c r="Q11" i="3"/>
  <c r="S11" i="3"/>
  <c r="B42" i="14"/>
  <c r="E13" i="14"/>
  <c r="F13" i="14"/>
  <c r="C13" i="14"/>
  <c r="D13" i="14" s="1"/>
  <c r="D42" i="14" s="1"/>
  <c r="B13" i="14"/>
  <c r="H13" i="14"/>
  <c r="H42" i="14" s="1"/>
  <c r="B32" i="14"/>
  <c r="A9" i="28" s="1"/>
  <c r="B35" i="27"/>
  <c r="B37" i="27"/>
  <c r="B38" i="27"/>
  <c r="B39" i="27"/>
  <c r="B41" i="27"/>
  <c r="B42" i="27"/>
  <c r="B35" i="26"/>
  <c r="B36" i="26"/>
  <c r="B38" i="26"/>
  <c r="B39" i="26"/>
  <c r="B40" i="26"/>
  <c r="B41" i="26"/>
  <c r="B42" i="26"/>
  <c r="B35" i="25"/>
  <c r="B36" i="25"/>
  <c r="B38" i="25"/>
  <c r="B39" i="25"/>
  <c r="B40" i="25"/>
  <c r="B42" i="25"/>
  <c r="B35" i="24"/>
  <c r="B36" i="24"/>
  <c r="B37" i="24"/>
  <c r="B39" i="24"/>
  <c r="B40" i="24"/>
  <c r="B41" i="24"/>
  <c r="B35" i="23"/>
  <c r="B36" i="23"/>
  <c r="B37" i="23"/>
  <c r="B38" i="23"/>
  <c r="B40" i="23"/>
  <c r="B41" i="23"/>
  <c r="B42" i="23"/>
  <c r="B35" i="22"/>
  <c r="B36" i="22"/>
  <c r="B37" i="22"/>
  <c r="B38" i="22"/>
  <c r="B39" i="22"/>
  <c r="B41" i="22"/>
  <c r="B42" i="22"/>
  <c r="B35" i="21"/>
  <c r="B36" i="21"/>
  <c r="B37" i="21"/>
  <c r="B38" i="21"/>
  <c r="B39" i="21"/>
  <c r="B40" i="21"/>
  <c r="B42" i="21"/>
  <c r="B35" i="20"/>
  <c r="B36" i="20"/>
  <c r="B37" i="20"/>
  <c r="B38" i="20"/>
  <c r="B39" i="20"/>
  <c r="B40" i="20"/>
  <c r="B41" i="20"/>
  <c r="B35" i="19"/>
  <c r="B36" i="19"/>
  <c r="B37" i="19"/>
  <c r="B38" i="19"/>
  <c r="B39" i="19"/>
  <c r="B40" i="19"/>
  <c r="B41" i="19"/>
  <c r="B42" i="19"/>
  <c r="G6" i="14"/>
  <c r="G35" i="14"/>
  <c r="G9" i="14"/>
  <c r="G38" i="14" s="1"/>
  <c r="E38" i="14" s="1"/>
  <c r="G10" i="14"/>
  <c r="G39" i="14" s="1"/>
  <c r="G13" i="14"/>
  <c r="G42" i="14" s="1"/>
  <c r="B35" i="18"/>
  <c r="B36" i="18"/>
  <c r="B37" i="18"/>
  <c r="B38" i="18"/>
  <c r="B39" i="18"/>
  <c r="B40" i="18"/>
  <c r="B41" i="18"/>
  <c r="B42" i="18"/>
  <c r="D1" i="27"/>
  <c r="D3" i="27"/>
  <c r="B5" i="27"/>
  <c r="B6" i="27"/>
  <c r="E6" i="27"/>
  <c r="C6" i="27" s="1"/>
  <c r="C23" i="27" s="1"/>
  <c r="F6" i="27"/>
  <c r="H6" i="27"/>
  <c r="B7" i="27"/>
  <c r="E7" i="27"/>
  <c r="G7" i="27" s="1"/>
  <c r="G36" i="27" s="1"/>
  <c r="F7" i="27"/>
  <c r="C7" i="27"/>
  <c r="D7" i="27" s="1"/>
  <c r="D36" i="27" s="1"/>
  <c r="B8" i="27"/>
  <c r="E8" i="27"/>
  <c r="F8" i="27"/>
  <c r="C8" i="27"/>
  <c r="H8" i="27" s="1"/>
  <c r="H37" i="27" s="1"/>
  <c r="G8" i="27"/>
  <c r="G37" i="27" s="1"/>
  <c r="B9" i="27"/>
  <c r="B14" i="27" s="1"/>
  <c r="B22" i="27" s="1"/>
  <c r="E9" i="27"/>
  <c r="F9" i="27"/>
  <c r="C9" i="27" s="1"/>
  <c r="B10" i="27"/>
  <c r="E10" i="27"/>
  <c r="F10" i="27"/>
  <c r="C10" i="27"/>
  <c r="D10" i="27" s="1"/>
  <c r="D39" i="27" s="1"/>
  <c r="C39" i="27" s="1"/>
  <c r="B11" i="27"/>
  <c r="E11" i="27"/>
  <c r="C11" i="27" s="1"/>
  <c r="F11" i="27"/>
  <c r="M27" i="27" s="1"/>
  <c r="B12" i="27"/>
  <c r="E12" i="27"/>
  <c r="C12" i="27" s="1"/>
  <c r="F12" i="27"/>
  <c r="B13" i="27"/>
  <c r="E13" i="27"/>
  <c r="C13" i="27" s="1"/>
  <c r="F13" i="27"/>
  <c r="E14" i="27"/>
  <c r="B17" i="27"/>
  <c r="B18" i="27"/>
  <c r="M18" i="27"/>
  <c r="M20" i="27" s="1"/>
  <c r="N18" i="27"/>
  <c r="O18" i="27"/>
  <c r="O20" i="27" s="1"/>
  <c r="P18" i="27"/>
  <c r="Q18" i="27"/>
  <c r="Q20" i="27" s="1"/>
  <c r="R18" i="27"/>
  <c r="B19" i="27"/>
  <c r="N20" i="27"/>
  <c r="P20" i="27"/>
  <c r="R20" i="27"/>
  <c r="L21" i="27"/>
  <c r="E22" i="27"/>
  <c r="K2" i="28" s="1"/>
  <c r="B32" i="27"/>
  <c r="O22" i="27" s="1"/>
  <c r="B23" i="27"/>
  <c r="B28" i="27" s="1"/>
  <c r="E23" i="27"/>
  <c r="K3" i="28" s="1"/>
  <c r="M24" i="27"/>
  <c r="M26" i="27"/>
  <c r="H35" i="27"/>
  <c r="B24" i="27"/>
  <c r="E24" i="27"/>
  <c r="K4" i="28" s="1"/>
  <c r="C32" i="27"/>
  <c r="D32" i="27"/>
  <c r="J3" i="3"/>
  <c r="S3" i="3"/>
  <c r="B34" i="27" s="1"/>
  <c r="B47" i="27"/>
  <c r="B48" i="27"/>
  <c r="B46" i="27" s="1"/>
  <c r="B53" i="27"/>
  <c r="D1" i="26"/>
  <c r="D3" i="26"/>
  <c r="D32" i="26" s="1"/>
  <c r="B5" i="26"/>
  <c r="B6" i="26"/>
  <c r="E6" i="26"/>
  <c r="C6" i="26" s="1"/>
  <c r="F6" i="26"/>
  <c r="M24" i="26" s="1"/>
  <c r="B7" i="26"/>
  <c r="E7" i="26"/>
  <c r="E23" i="26" s="1"/>
  <c r="F7" i="26"/>
  <c r="C7" i="26"/>
  <c r="G7" i="26" s="1"/>
  <c r="G36" i="26" s="1"/>
  <c r="B8" i="26"/>
  <c r="E8" i="26"/>
  <c r="F8" i="26"/>
  <c r="C8" i="26" s="1"/>
  <c r="B9" i="26"/>
  <c r="E9" i="26"/>
  <c r="C9" i="26" s="1"/>
  <c r="F9" i="26"/>
  <c r="B10" i="26"/>
  <c r="E10" i="26"/>
  <c r="C10" i="26" s="1"/>
  <c r="F10" i="26"/>
  <c r="F14" i="26" s="1"/>
  <c r="B11" i="26"/>
  <c r="E11" i="26"/>
  <c r="E24" i="26" s="1"/>
  <c r="F11" i="26"/>
  <c r="C11" i="26"/>
  <c r="G11" i="26" s="1"/>
  <c r="G40" i="26" s="1"/>
  <c r="B12" i="26"/>
  <c r="B14" i="26" s="1"/>
  <c r="B22" i="26" s="1"/>
  <c r="E12" i="26"/>
  <c r="F12" i="26"/>
  <c r="C12" i="26" s="1"/>
  <c r="B13" i="26"/>
  <c r="E13" i="26"/>
  <c r="C13" i="26" s="1"/>
  <c r="F13" i="26"/>
  <c r="B17" i="26"/>
  <c r="B18" i="26"/>
  <c r="B19" i="26" s="1"/>
  <c r="M18" i="26"/>
  <c r="N18" i="26"/>
  <c r="N20" i="26" s="1"/>
  <c r="O18" i="26"/>
  <c r="P18" i="26"/>
  <c r="P20" i="26" s="1"/>
  <c r="Q18" i="26"/>
  <c r="R18" i="26"/>
  <c r="R20" i="26" s="1"/>
  <c r="M20" i="26"/>
  <c r="O20" i="26"/>
  <c r="Q20" i="26"/>
  <c r="L21" i="26"/>
  <c r="B32" i="26"/>
  <c r="O22" i="26"/>
  <c r="F23" i="26"/>
  <c r="J6" i="28" s="1"/>
  <c r="M25" i="26"/>
  <c r="M27" i="26"/>
  <c r="F24" i="26"/>
  <c r="J7" i="28" s="1"/>
  <c r="C32" i="26"/>
  <c r="B34" i="26"/>
  <c r="B43" i="26" s="1"/>
  <c r="B47" i="26"/>
  <c r="B52" i="26" s="1"/>
  <c r="D1" i="25"/>
  <c r="D3" i="25"/>
  <c r="B5" i="25"/>
  <c r="B6" i="25"/>
  <c r="E6" i="25"/>
  <c r="C6" i="25" s="1"/>
  <c r="F6" i="25"/>
  <c r="B7" i="25"/>
  <c r="E7" i="25"/>
  <c r="C7" i="25" s="1"/>
  <c r="F7" i="25"/>
  <c r="B8" i="25"/>
  <c r="E8" i="25"/>
  <c r="F8" i="25"/>
  <c r="C8" i="25"/>
  <c r="G8" i="25" s="1"/>
  <c r="G37" i="25" s="1"/>
  <c r="B9" i="25"/>
  <c r="E9" i="25"/>
  <c r="F9" i="25"/>
  <c r="C9" i="25" s="1"/>
  <c r="B10" i="25"/>
  <c r="E10" i="25"/>
  <c r="C10" i="25" s="1"/>
  <c r="C14" i="25" s="1"/>
  <c r="F10" i="25"/>
  <c r="B11" i="25"/>
  <c r="E11" i="25"/>
  <c r="C11" i="25" s="1"/>
  <c r="F11" i="25"/>
  <c r="B12" i="25"/>
  <c r="E12" i="25"/>
  <c r="F12" i="25"/>
  <c r="C12" i="25"/>
  <c r="G12" i="25"/>
  <c r="G41" i="25" s="1"/>
  <c r="B13" i="25"/>
  <c r="D13" i="25" s="1"/>
  <c r="D42" i="25" s="1"/>
  <c r="C42" i="25" s="1"/>
  <c r="E13" i="25"/>
  <c r="F13" i="25"/>
  <c r="C13" i="25" s="1"/>
  <c r="G13" i="25" s="1"/>
  <c r="H13" i="25"/>
  <c r="B17" i="25"/>
  <c r="B18" i="25"/>
  <c r="M18" i="25"/>
  <c r="M20" i="25" s="1"/>
  <c r="N18" i="25"/>
  <c r="O18" i="25"/>
  <c r="O20" i="25" s="1"/>
  <c r="P18" i="25"/>
  <c r="Q18" i="25"/>
  <c r="Q20" i="25" s="1"/>
  <c r="R18" i="25"/>
  <c r="B19" i="25"/>
  <c r="B48" i="25" s="1"/>
  <c r="B53" i="25" s="1"/>
  <c r="N20" i="25"/>
  <c r="P20" i="25"/>
  <c r="R20" i="25"/>
  <c r="L21" i="25"/>
  <c r="B32" i="25"/>
  <c r="O22" i="25" s="1"/>
  <c r="B23" i="25"/>
  <c r="M24" i="25"/>
  <c r="G42" i="25"/>
  <c r="H42" i="25"/>
  <c r="B24" i="25"/>
  <c r="E24" i="25"/>
  <c r="I4" i="28" s="1"/>
  <c r="C32" i="25"/>
  <c r="D32" i="25"/>
  <c r="Q3" i="3"/>
  <c r="B34" i="25"/>
  <c r="B43" i="25" s="1"/>
  <c r="B47" i="25"/>
  <c r="B52" i="25" s="1"/>
  <c r="D1" i="24"/>
  <c r="D3" i="24"/>
  <c r="B5" i="24"/>
  <c r="B6" i="24"/>
  <c r="E6" i="24"/>
  <c r="F6" i="24"/>
  <c r="C6" i="24"/>
  <c r="G6" i="24"/>
  <c r="G35" i="24" s="1"/>
  <c r="B7" i="24"/>
  <c r="E7" i="24"/>
  <c r="F7" i="24"/>
  <c r="B8" i="24"/>
  <c r="E8" i="24"/>
  <c r="C8" i="24" s="1"/>
  <c r="F8" i="24"/>
  <c r="B9" i="24"/>
  <c r="E9" i="24"/>
  <c r="C9" i="24" s="1"/>
  <c r="G9" i="24" s="1"/>
  <c r="G38" i="24" s="1"/>
  <c r="F9" i="24"/>
  <c r="B10" i="24"/>
  <c r="E10" i="24"/>
  <c r="F10" i="24"/>
  <c r="C10" i="24"/>
  <c r="G10" i="24"/>
  <c r="G39" i="24" s="1"/>
  <c r="B11" i="24"/>
  <c r="E11" i="24"/>
  <c r="F11" i="24"/>
  <c r="B12" i="24"/>
  <c r="E12" i="24"/>
  <c r="C12" i="24" s="1"/>
  <c r="F12" i="24"/>
  <c r="B13" i="24"/>
  <c r="E13" i="24"/>
  <c r="C13" i="24" s="1"/>
  <c r="G13" i="24" s="1"/>
  <c r="G42" i="24" s="1"/>
  <c r="F13" i="24"/>
  <c r="B17" i="24"/>
  <c r="B18" i="24"/>
  <c r="M18" i="24"/>
  <c r="M20" i="24" s="1"/>
  <c r="N18" i="24"/>
  <c r="O18" i="24"/>
  <c r="O20" i="24" s="1"/>
  <c r="P18" i="24"/>
  <c r="Q18" i="24"/>
  <c r="Q20" i="24" s="1"/>
  <c r="R18" i="24"/>
  <c r="B19" i="24"/>
  <c r="B48" i="24" s="1"/>
  <c r="B53" i="24" s="1"/>
  <c r="N20" i="24"/>
  <c r="P20" i="24"/>
  <c r="R20" i="24"/>
  <c r="L21" i="24"/>
  <c r="B32" i="24"/>
  <c r="O22" i="24" s="1"/>
  <c r="B23" i="24"/>
  <c r="M24" i="24"/>
  <c r="M26" i="24"/>
  <c r="E24" i="24"/>
  <c r="H4" i="28" s="1"/>
  <c r="C32" i="24"/>
  <c r="D32" i="24"/>
  <c r="P3" i="3"/>
  <c r="B34" i="24"/>
  <c r="B43" i="24" s="1"/>
  <c r="B47" i="24"/>
  <c r="B46" i="24"/>
  <c r="D1" i="23"/>
  <c r="D3" i="23"/>
  <c r="B5" i="23"/>
  <c r="B14" i="23" s="1"/>
  <c r="B22" i="23" s="1"/>
  <c r="B6" i="23"/>
  <c r="E6" i="23"/>
  <c r="C6" i="23" s="1"/>
  <c r="F6" i="23"/>
  <c r="B7" i="23"/>
  <c r="E7" i="23"/>
  <c r="F7" i="23"/>
  <c r="F23" i="23" s="1"/>
  <c r="B8" i="23"/>
  <c r="E8" i="23"/>
  <c r="G8" i="23" s="1"/>
  <c r="G37" i="23" s="1"/>
  <c r="F8" i="23"/>
  <c r="C8" i="23"/>
  <c r="B9" i="23"/>
  <c r="E9" i="23"/>
  <c r="F9" i="23"/>
  <c r="C9" i="23" s="1"/>
  <c r="G9" i="23" s="1"/>
  <c r="G38" i="23" s="1"/>
  <c r="B10" i="23"/>
  <c r="E10" i="23"/>
  <c r="C10" i="23" s="1"/>
  <c r="F10" i="23"/>
  <c r="B11" i="23"/>
  <c r="E11" i="23"/>
  <c r="F11" i="23"/>
  <c r="M27" i="23" s="1"/>
  <c r="B12" i="23"/>
  <c r="E12" i="23"/>
  <c r="G12" i="23" s="1"/>
  <c r="G41" i="23" s="1"/>
  <c r="F12" i="23"/>
  <c r="C12" i="23"/>
  <c r="B13" i="23"/>
  <c r="E13" i="23"/>
  <c r="F13" i="23"/>
  <c r="C13" i="23" s="1"/>
  <c r="G13" i="23" s="1"/>
  <c r="G42" i="23" s="1"/>
  <c r="B17" i="23"/>
  <c r="B18" i="23"/>
  <c r="M18" i="23"/>
  <c r="M20" i="23" s="1"/>
  <c r="N18" i="23"/>
  <c r="O18" i="23"/>
  <c r="O20" i="23" s="1"/>
  <c r="P18" i="23"/>
  <c r="Q18" i="23"/>
  <c r="R18" i="23"/>
  <c r="B19" i="23"/>
  <c r="B48" i="23" s="1"/>
  <c r="B53" i="23" s="1"/>
  <c r="N20" i="23"/>
  <c r="P20" i="23"/>
  <c r="Q20" i="23"/>
  <c r="R20" i="23"/>
  <c r="L21" i="23"/>
  <c r="B32" i="23"/>
  <c r="O22" i="23" s="1"/>
  <c r="B23" i="23"/>
  <c r="E23" i="23"/>
  <c r="G3" i="28" s="1"/>
  <c r="M24" i="23"/>
  <c r="B24" i="23"/>
  <c r="E24" i="23"/>
  <c r="G4" i="28" s="1"/>
  <c r="C32" i="23"/>
  <c r="D32" i="23"/>
  <c r="O3" i="3"/>
  <c r="B34" i="23"/>
  <c r="B43" i="23" s="1"/>
  <c r="B47" i="23"/>
  <c r="B46" i="23" s="1"/>
  <c r="D1" i="22"/>
  <c r="D3" i="22"/>
  <c r="B5" i="22"/>
  <c r="B6" i="22"/>
  <c r="E6" i="22"/>
  <c r="F6" i="22"/>
  <c r="C6" i="22"/>
  <c r="B7" i="22"/>
  <c r="E7" i="22"/>
  <c r="F7" i="22"/>
  <c r="C7" i="22" s="1"/>
  <c r="B8" i="22"/>
  <c r="E8" i="22"/>
  <c r="F8" i="22"/>
  <c r="B9" i="22"/>
  <c r="E9" i="22"/>
  <c r="C9" i="22" s="1"/>
  <c r="F9" i="22"/>
  <c r="H9" i="22" s="1"/>
  <c r="H38" i="22" s="1"/>
  <c r="B10" i="22"/>
  <c r="E10" i="22"/>
  <c r="F10" i="22"/>
  <c r="C10" i="22"/>
  <c r="B11" i="22"/>
  <c r="E11" i="22"/>
  <c r="F11" i="22"/>
  <c r="C11" i="22" s="1"/>
  <c r="B12" i="22"/>
  <c r="E12" i="22"/>
  <c r="C12" i="22" s="1"/>
  <c r="F12" i="22"/>
  <c r="B13" i="22"/>
  <c r="E13" i="22"/>
  <c r="C13" i="22" s="1"/>
  <c r="F13" i="22"/>
  <c r="H13" i="22" s="1"/>
  <c r="H42" i="22" s="1"/>
  <c r="B17" i="22"/>
  <c r="B18" i="22"/>
  <c r="M18" i="22"/>
  <c r="M20" i="22" s="1"/>
  <c r="N18" i="22"/>
  <c r="O18" i="22"/>
  <c r="O20" i="22" s="1"/>
  <c r="P18" i="22"/>
  <c r="Q18" i="22"/>
  <c r="Q20" i="22" s="1"/>
  <c r="R18" i="22"/>
  <c r="B19" i="22"/>
  <c r="N20" i="22"/>
  <c r="P20" i="22"/>
  <c r="R20" i="22"/>
  <c r="L21" i="22"/>
  <c r="B32" i="22"/>
  <c r="O22" i="22" s="1"/>
  <c r="B23" i="22"/>
  <c r="M24" i="22"/>
  <c r="M26" i="22"/>
  <c r="E24" i="22"/>
  <c r="C32" i="22"/>
  <c r="D32" i="22"/>
  <c r="N3" i="3"/>
  <c r="B34" i="22"/>
  <c r="B43" i="22" s="1"/>
  <c r="B47" i="22"/>
  <c r="D1" i="21"/>
  <c r="B32" i="21" s="1"/>
  <c r="O22" i="21" s="1"/>
  <c r="D3" i="21"/>
  <c r="B5" i="21"/>
  <c r="B6" i="21"/>
  <c r="E6" i="21"/>
  <c r="C6" i="21" s="1"/>
  <c r="F6" i="21"/>
  <c r="B7" i="21"/>
  <c r="B47" i="21" s="1"/>
  <c r="E7" i="21"/>
  <c r="C7" i="21" s="1"/>
  <c r="G7" i="21" s="1"/>
  <c r="F7" i="21"/>
  <c r="H7" i="21"/>
  <c r="B8" i="21"/>
  <c r="E8" i="21"/>
  <c r="F8" i="21"/>
  <c r="C8" i="21"/>
  <c r="G8" i="21" s="1"/>
  <c r="G37" i="21" s="1"/>
  <c r="B9" i="21"/>
  <c r="E9" i="21"/>
  <c r="F9" i="21"/>
  <c r="C9" i="21" s="1"/>
  <c r="G9" i="21" s="1"/>
  <c r="G38" i="21" s="1"/>
  <c r="B10" i="21"/>
  <c r="E10" i="21"/>
  <c r="C10" i="21" s="1"/>
  <c r="F10" i="21"/>
  <c r="B11" i="21"/>
  <c r="D11" i="21" s="1"/>
  <c r="D40" i="21" s="1"/>
  <c r="C40" i="21" s="1"/>
  <c r="E11" i="21"/>
  <c r="C11" i="21" s="1"/>
  <c r="F11" i="21"/>
  <c r="H11" i="21"/>
  <c r="H40" i="21" s="1"/>
  <c r="B12" i="21"/>
  <c r="E12" i="21"/>
  <c r="F12" i="21"/>
  <c r="C12" i="21"/>
  <c r="G12" i="21" s="1"/>
  <c r="G41" i="21" s="1"/>
  <c r="B13" i="21"/>
  <c r="E13" i="21"/>
  <c r="F13" i="21"/>
  <c r="C13" i="21" s="1"/>
  <c r="G13" i="21" s="1"/>
  <c r="G42" i="21" s="1"/>
  <c r="E14" i="21"/>
  <c r="B17" i="21"/>
  <c r="B18" i="21"/>
  <c r="M18" i="21"/>
  <c r="M20" i="21" s="1"/>
  <c r="N18" i="21"/>
  <c r="O18" i="21"/>
  <c r="O20" i="21" s="1"/>
  <c r="P18" i="21"/>
  <c r="Q18" i="21"/>
  <c r="Q20" i="21" s="1"/>
  <c r="R18" i="21"/>
  <c r="B19" i="21"/>
  <c r="B48" i="21" s="1"/>
  <c r="B53" i="21" s="1"/>
  <c r="N20" i="21"/>
  <c r="P20" i="21"/>
  <c r="R20" i="21"/>
  <c r="L21" i="21"/>
  <c r="E22" i="21"/>
  <c r="E2" i="28" s="1"/>
  <c r="E23" i="21"/>
  <c r="E3" i="28" s="1"/>
  <c r="G36" i="21"/>
  <c r="H36" i="21"/>
  <c r="B24" i="21"/>
  <c r="E24" i="21"/>
  <c r="E4" i="28" s="1"/>
  <c r="C32" i="21"/>
  <c r="D32" i="21"/>
  <c r="M3" i="3"/>
  <c r="B34" i="21"/>
  <c r="B43" i="21" s="1"/>
  <c r="D1" i="20"/>
  <c r="D3" i="20"/>
  <c r="B5" i="20"/>
  <c r="B6" i="20"/>
  <c r="E6" i="20"/>
  <c r="G6" i="20" s="1"/>
  <c r="G35" i="20" s="1"/>
  <c r="F6" i="20"/>
  <c r="C6" i="20"/>
  <c r="B7" i="20"/>
  <c r="E7" i="20"/>
  <c r="F7" i="20"/>
  <c r="C7" i="20" s="1"/>
  <c r="G7" i="20" s="1"/>
  <c r="B8" i="20"/>
  <c r="E8" i="20"/>
  <c r="C8" i="20" s="1"/>
  <c r="F8" i="20"/>
  <c r="B9" i="20"/>
  <c r="E9" i="20"/>
  <c r="F9" i="20"/>
  <c r="B10" i="20"/>
  <c r="E10" i="20"/>
  <c r="G10" i="20" s="1"/>
  <c r="G39" i="20" s="1"/>
  <c r="F10" i="20"/>
  <c r="C10" i="20"/>
  <c r="B11" i="20"/>
  <c r="E11" i="20"/>
  <c r="F11" i="20"/>
  <c r="B12" i="20"/>
  <c r="E12" i="20"/>
  <c r="E24" i="20" s="1"/>
  <c r="F12" i="20"/>
  <c r="B13" i="20"/>
  <c r="E13" i="20"/>
  <c r="F13" i="20"/>
  <c r="B17" i="20"/>
  <c r="B18" i="20"/>
  <c r="M18" i="20"/>
  <c r="M20" i="20" s="1"/>
  <c r="N18" i="20"/>
  <c r="N20" i="20" s="1"/>
  <c r="O18" i="20"/>
  <c r="O20" i="20" s="1"/>
  <c r="P18" i="20"/>
  <c r="Q18" i="20"/>
  <c r="Q20" i="20" s="1"/>
  <c r="R18" i="20"/>
  <c r="R20" i="20" s="1"/>
  <c r="B19" i="20"/>
  <c r="P20" i="20"/>
  <c r="L21" i="20"/>
  <c r="B32" i="20"/>
  <c r="O22" i="20"/>
  <c r="B23" i="20"/>
  <c r="F23" i="20"/>
  <c r="M24" i="20"/>
  <c r="M26" i="20"/>
  <c r="G36" i="20"/>
  <c r="B24" i="20"/>
  <c r="C32" i="20"/>
  <c r="D32" i="20"/>
  <c r="L3" i="3"/>
  <c r="B47" i="20"/>
  <c r="D1" i="19"/>
  <c r="D3" i="19"/>
  <c r="B5" i="19"/>
  <c r="B14" i="19" s="1"/>
  <c r="B22" i="19" s="1"/>
  <c r="B6" i="19"/>
  <c r="E6" i="19"/>
  <c r="F6" i="19"/>
  <c r="B7" i="19"/>
  <c r="E7" i="19"/>
  <c r="F7" i="19"/>
  <c r="C7" i="19"/>
  <c r="B8" i="19"/>
  <c r="E8" i="19"/>
  <c r="C8" i="19" s="1"/>
  <c r="F8" i="19"/>
  <c r="D8" i="19"/>
  <c r="D37" i="19" s="1"/>
  <c r="B9" i="19"/>
  <c r="E9" i="19"/>
  <c r="F9" i="19"/>
  <c r="B10" i="19"/>
  <c r="E10" i="19"/>
  <c r="F10" i="19"/>
  <c r="C10" i="19" s="1"/>
  <c r="H10" i="19"/>
  <c r="H39" i="19" s="1"/>
  <c r="B11" i="19"/>
  <c r="E11" i="19"/>
  <c r="F11" i="19"/>
  <c r="C11" i="19"/>
  <c r="B12" i="19"/>
  <c r="E12" i="19"/>
  <c r="C12" i="19" s="1"/>
  <c r="F12" i="19"/>
  <c r="D12" i="19"/>
  <c r="D41" i="19" s="1"/>
  <c r="B13" i="19"/>
  <c r="E13" i="19"/>
  <c r="C13" i="19" s="1"/>
  <c r="F13" i="19"/>
  <c r="G13" i="19"/>
  <c r="G42" i="19" s="1"/>
  <c r="B17" i="19"/>
  <c r="B18" i="19"/>
  <c r="M18" i="19"/>
  <c r="M20" i="19" s="1"/>
  <c r="N18" i="19"/>
  <c r="N20" i="19" s="1"/>
  <c r="O18" i="19"/>
  <c r="P18" i="19"/>
  <c r="Q18" i="19"/>
  <c r="Q20" i="19" s="1"/>
  <c r="R18" i="19"/>
  <c r="R20" i="19" s="1"/>
  <c r="B19" i="19"/>
  <c r="B24" i="19" s="1"/>
  <c r="O20" i="19"/>
  <c r="P20" i="19"/>
  <c r="L21" i="19"/>
  <c r="B32" i="19"/>
  <c r="O22" i="19"/>
  <c r="F23" i="19"/>
  <c r="M25" i="19"/>
  <c r="C24" i="19"/>
  <c r="C32" i="19"/>
  <c r="D32" i="19"/>
  <c r="K3" i="3"/>
  <c r="T3" i="3" s="1"/>
  <c r="B48" i="19"/>
  <c r="B53" i="19" s="1"/>
  <c r="D1" i="18"/>
  <c r="D3" i="18"/>
  <c r="B5" i="18"/>
  <c r="B6" i="18"/>
  <c r="B47" i="18" s="1"/>
  <c r="E6" i="18"/>
  <c r="F6" i="18"/>
  <c r="B7" i="18"/>
  <c r="E7" i="18"/>
  <c r="F7" i="18"/>
  <c r="B8" i="18"/>
  <c r="E8" i="18"/>
  <c r="F8" i="18"/>
  <c r="B9" i="18"/>
  <c r="E9" i="18"/>
  <c r="F9" i="18"/>
  <c r="C9" i="18"/>
  <c r="D9" i="18" s="1"/>
  <c r="D38" i="18" s="1"/>
  <c r="C38" i="18" s="1"/>
  <c r="B10" i="18"/>
  <c r="E10" i="18"/>
  <c r="F10" i="18"/>
  <c r="B11" i="18"/>
  <c r="E11" i="18"/>
  <c r="M27" i="18" s="1"/>
  <c r="F11" i="18"/>
  <c r="B12" i="18"/>
  <c r="E12" i="18"/>
  <c r="F12" i="18"/>
  <c r="B13" i="18"/>
  <c r="E13" i="18"/>
  <c r="F13" i="18"/>
  <c r="C13" i="18"/>
  <c r="D13" i="18" s="1"/>
  <c r="D42" i="18" s="1"/>
  <c r="B14" i="18"/>
  <c r="B22" i="18" s="1"/>
  <c r="B17" i="18"/>
  <c r="B18" i="18"/>
  <c r="M18" i="18"/>
  <c r="N18" i="18"/>
  <c r="O18" i="18"/>
  <c r="O20" i="18" s="1"/>
  <c r="P18" i="18"/>
  <c r="P20" i="18" s="1"/>
  <c r="Q18" i="18"/>
  <c r="R18" i="18"/>
  <c r="M20" i="18"/>
  <c r="N20" i="18"/>
  <c r="Q20" i="18"/>
  <c r="R20" i="18"/>
  <c r="L21" i="18"/>
  <c r="B32" i="18"/>
  <c r="O22" i="18" s="1"/>
  <c r="E23" i="18"/>
  <c r="M24" i="18"/>
  <c r="C32" i="18"/>
  <c r="D32" i="18"/>
  <c r="B34" i="18"/>
  <c r="B43" i="18" s="1"/>
  <c r="L41" i="2"/>
  <c r="L131" i="2" s="1"/>
  <c r="L142" i="2" s="1"/>
  <c r="L65" i="2"/>
  <c r="L42" i="2"/>
  <c r="E7" i="4" s="1"/>
  <c r="L66" i="2"/>
  <c r="L43" i="2"/>
  <c r="L133" i="2" s="1"/>
  <c r="L144" i="2" s="1"/>
  <c r="L67" i="2"/>
  <c r="L44" i="2"/>
  <c r="E9" i="4" s="1"/>
  <c r="G9" i="4" s="1"/>
  <c r="L68" i="2"/>
  <c r="L45" i="2"/>
  <c r="L135" i="2" s="1"/>
  <c r="L69" i="2"/>
  <c r="L46" i="2"/>
  <c r="L103" i="2" s="1"/>
  <c r="L70" i="2"/>
  <c r="L47" i="2"/>
  <c r="E12" i="4" s="1"/>
  <c r="L71" i="2"/>
  <c r="L48" i="2"/>
  <c r="E13" i="4" s="1"/>
  <c r="G13" i="4" s="1"/>
  <c r="L72" i="2"/>
  <c r="L17" i="2"/>
  <c r="L18" i="2"/>
  <c r="L19" i="2"/>
  <c r="L20" i="2"/>
  <c r="L21" i="2"/>
  <c r="L22" i="2"/>
  <c r="L23" i="2"/>
  <c r="L24" i="2"/>
  <c r="D3" i="14"/>
  <c r="D32" i="14" s="1"/>
  <c r="I1" i="3"/>
  <c r="B34" i="14"/>
  <c r="L81" i="2"/>
  <c r="B17" i="14"/>
  <c r="L82" i="2"/>
  <c r="B18" i="14"/>
  <c r="L16" i="2"/>
  <c r="B5" i="14"/>
  <c r="B14" i="14" s="1"/>
  <c r="B22" i="14" s="1"/>
  <c r="C32" i="14"/>
  <c r="B23" i="14"/>
  <c r="B28" i="14" s="1"/>
  <c r="C23" i="14"/>
  <c r="G23" i="14" s="1"/>
  <c r="H23" i="14"/>
  <c r="S12" i="3"/>
  <c r="R12" i="3"/>
  <c r="Q12" i="3"/>
  <c r="P12" i="3"/>
  <c r="O12" i="3"/>
  <c r="N12" i="3"/>
  <c r="M12" i="3"/>
  <c r="J12" i="3"/>
  <c r="C15" i="3"/>
  <c r="D15" i="3" s="1"/>
  <c r="E15" i="3"/>
  <c r="F15" i="3" s="1"/>
  <c r="G15" i="3" s="1"/>
  <c r="K1" i="3"/>
  <c r="L1" i="3"/>
  <c r="M1" i="3" s="1"/>
  <c r="N1" i="3" s="1"/>
  <c r="O1" i="3" s="1"/>
  <c r="P1" i="3" s="1"/>
  <c r="Q1" i="3" s="1"/>
  <c r="R1" i="3" s="1"/>
  <c r="S1" i="3" s="1"/>
  <c r="T1" i="3" s="1"/>
  <c r="C1" i="2"/>
  <c r="D1" i="2"/>
  <c r="E1" i="2" s="1"/>
  <c r="F1" i="2" s="1"/>
  <c r="G1" i="2" s="1"/>
  <c r="H1" i="2" s="1"/>
  <c r="I1" i="2" s="1"/>
  <c r="J1" i="2" s="1"/>
  <c r="K1" i="2" s="1"/>
  <c r="L1" i="2" s="1"/>
  <c r="E11" i="4"/>
  <c r="E8" i="4"/>
  <c r="E6" i="4"/>
  <c r="C6" i="4" s="1"/>
  <c r="F13" i="4"/>
  <c r="C13" i="4"/>
  <c r="H13" i="4" s="1"/>
  <c r="L138" i="2"/>
  <c r="L36" i="2"/>
  <c r="L60" i="2"/>
  <c r="L127" i="2" s="1"/>
  <c r="L149" i="2" s="1"/>
  <c r="F12" i="4"/>
  <c r="L35" i="2"/>
  <c r="L59" i="2"/>
  <c r="L126" i="2"/>
  <c r="F11" i="4"/>
  <c r="F24" i="4" s="1"/>
  <c r="L136" i="2"/>
  <c r="L34" i="2"/>
  <c r="L58" i="2"/>
  <c r="L92" i="2" s="1"/>
  <c r="F10" i="4"/>
  <c r="L33" i="2"/>
  <c r="L124" i="2" s="1"/>
  <c r="L57" i="2"/>
  <c r="L91" i="2" s="1"/>
  <c r="F9" i="4"/>
  <c r="C9" i="4"/>
  <c r="H9" i="4" s="1"/>
  <c r="L134" i="2"/>
  <c r="L32" i="2"/>
  <c r="L56" i="2"/>
  <c r="L123" i="2" s="1"/>
  <c r="L145" i="2" s="1"/>
  <c r="F8" i="4"/>
  <c r="L31" i="2"/>
  <c r="L55" i="2"/>
  <c r="L122" i="2"/>
  <c r="F7" i="4"/>
  <c r="L132" i="2"/>
  <c r="L30" i="2"/>
  <c r="L121" i="2" s="1"/>
  <c r="L143" i="2" s="1"/>
  <c r="L54" i="2"/>
  <c r="L88" i="2" s="1"/>
  <c r="F6" i="4"/>
  <c r="F14" i="4" s="1"/>
  <c r="L29" i="2"/>
  <c r="L53" i="2"/>
  <c r="L120" i="2"/>
  <c r="B13" i="4"/>
  <c r="D13" i="4"/>
  <c r="L12" i="2"/>
  <c r="B12" i="4"/>
  <c r="L104" i="2"/>
  <c r="L115" i="2" s="1"/>
  <c r="L11" i="2"/>
  <c r="L93" i="2"/>
  <c r="B11" i="4"/>
  <c r="L10" i="2"/>
  <c r="B10" i="4"/>
  <c r="L102" i="2"/>
  <c r="L113" i="2" s="1"/>
  <c r="L9" i="2"/>
  <c r="B9" i="4"/>
  <c r="D9" i="4"/>
  <c r="L8" i="2"/>
  <c r="B8" i="4"/>
  <c r="L100" i="2"/>
  <c r="L111" i="2" s="1"/>
  <c r="L7" i="2"/>
  <c r="L89" i="2"/>
  <c r="B7" i="4"/>
  <c r="L6" i="2"/>
  <c r="B6" i="4"/>
  <c r="L98" i="2"/>
  <c r="L109" i="2" s="1"/>
  <c r="L5" i="2"/>
  <c r="L87" i="2"/>
  <c r="D152" i="3"/>
  <c r="B41" i="4"/>
  <c r="D151" i="3"/>
  <c r="B40" i="4"/>
  <c r="D150" i="3"/>
  <c r="B39" i="4"/>
  <c r="D149" i="3"/>
  <c r="B38" i="4"/>
  <c r="D148" i="3"/>
  <c r="B37" i="4"/>
  <c r="D147" i="3"/>
  <c r="B36" i="4"/>
  <c r="D146" i="3"/>
  <c r="B35" i="4"/>
  <c r="D145" i="3"/>
  <c r="D153" i="3" s="1"/>
  <c r="B34" i="4"/>
  <c r="D144" i="3"/>
  <c r="B33" i="4"/>
  <c r="B42" i="4" s="1"/>
  <c r="G144" i="3"/>
  <c r="G145" i="3"/>
  <c r="G146" i="3"/>
  <c r="G147" i="3"/>
  <c r="G148" i="3"/>
  <c r="G149" i="3"/>
  <c r="G150" i="3"/>
  <c r="G151" i="3"/>
  <c r="G152" i="3"/>
  <c r="G153" i="3"/>
  <c r="F144" i="3"/>
  <c r="F145" i="3"/>
  <c r="F146" i="3"/>
  <c r="F147" i="3"/>
  <c r="F153" i="3" s="1"/>
  <c r="F148" i="3"/>
  <c r="F149" i="3"/>
  <c r="F150" i="3"/>
  <c r="F151" i="3"/>
  <c r="F152" i="3"/>
  <c r="E144" i="3"/>
  <c r="E145" i="3"/>
  <c r="E146" i="3"/>
  <c r="E147" i="3"/>
  <c r="E148" i="3"/>
  <c r="E149" i="3"/>
  <c r="E150" i="3"/>
  <c r="E151" i="3"/>
  <c r="E152" i="3"/>
  <c r="E153" i="3"/>
  <c r="C144" i="3"/>
  <c r="C153" i="3" s="1"/>
  <c r="C145" i="3"/>
  <c r="C146" i="3"/>
  <c r="C147" i="3"/>
  <c r="C148" i="3"/>
  <c r="C149" i="3"/>
  <c r="C150" i="3"/>
  <c r="C151" i="3"/>
  <c r="C152" i="3"/>
  <c r="B144" i="3"/>
  <c r="B153" i="3" s="1"/>
  <c r="B145" i="3"/>
  <c r="B146" i="3"/>
  <c r="B147" i="3"/>
  <c r="B148" i="3"/>
  <c r="B149" i="3"/>
  <c r="B150" i="3"/>
  <c r="B151" i="3"/>
  <c r="B152" i="3"/>
  <c r="L83" i="2"/>
  <c r="B19" i="4" s="1"/>
  <c r="B18" i="4"/>
  <c r="B46" i="4" s="1"/>
  <c r="B17" i="4"/>
  <c r="B5" i="4"/>
  <c r="B14" i="4" s="1"/>
  <c r="B22" i="4" s="1"/>
  <c r="B23" i="4"/>
  <c r="L78" i="2"/>
  <c r="L77" i="2"/>
  <c r="L76" i="2"/>
  <c r="B49" i="2"/>
  <c r="B73" i="2"/>
  <c r="B106" i="2" s="1"/>
  <c r="B117" i="2" s="1"/>
  <c r="B37" i="2"/>
  <c r="B95" i="2" s="1"/>
  <c r="B61" i="2"/>
  <c r="C49" i="2"/>
  <c r="C106" i="2" s="1"/>
  <c r="C117" i="2" s="1"/>
  <c r="C73" i="2"/>
  <c r="C37" i="2"/>
  <c r="C95" i="2" s="1"/>
  <c r="C61" i="2"/>
  <c r="L61" i="2" s="1"/>
  <c r="L128" i="2" s="1"/>
  <c r="D49" i="2"/>
  <c r="D106" i="2" s="1"/>
  <c r="D117" i="2" s="1"/>
  <c r="D73" i="2"/>
  <c r="D37" i="2"/>
  <c r="D128" i="2" s="1"/>
  <c r="D150" i="2" s="1"/>
  <c r="D61" i="2"/>
  <c r="D95" i="2"/>
  <c r="E49" i="2"/>
  <c r="E139" i="2" s="1"/>
  <c r="E150" i="2" s="1"/>
  <c r="E73" i="2"/>
  <c r="E106" i="2"/>
  <c r="E37" i="2"/>
  <c r="E61" i="2"/>
  <c r="E95" i="2" s="1"/>
  <c r="F49" i="2"/>
  <c r="F73" i="2"/>
  <c r="F106" i="2" s="1"/>
  <c r="F37" i="2"/>
  <c r="F128" i="2" s="1"/>
  <c r="F61" i="2"/>
  <c r="G49" i="2"/>
  <c r="G106" i="2" s="1"/>
  <c r="G73" i="2"/>
  <c r="G37" i="2"/>
  <c r="G95" i="2" s="1"/>
  <c r="G61" i="2"/>
  <c r="H49" i="2"/>
  <c r="H106" i="2" s="1"/>
  <c r="H117" i="2" s="1"/>
  <c r="H73" i="2"/>
  <c r="H37" i="2"/>
  <c r="H128" i="2" s="1"/>
  <c r="H150" i="2" s="1"/>
  <c r="H61" i="2"/>
  <c r="H95" i="2"/>
  <c r="I49" i="2"/>
  <c r="I139" i="2" s="1"/>
  <c r="I150" i="2" s="1"/>
  <c r="I73" i="2"/>
  <c r="I106" i="2"/>
  <c r="I37" i="2"/>
  <c r="I61" i="2"/>
  <c r="I95" i="2" s="1"/>
  <c r="I117" i="2" s="1"/>
  <c r="J49" i="2"/>
  <c r="J73" i="2"/>
  <c r="J106" i="2" s="1"/>
  <c r="J37" i="2"/>
  <c r="J128" i="2" s="1"/>
  <c r="J61" i="2"/>
  <c r="K49" i="2"/>
  <c r="K139" i="2" s="1"/>
  <c r="K150" i="2" s="1"/>
  <c r="K73" i="2"/>
  <c r="K37" i="2"/>
  <c r="K95" i="2" s="1"/>
  <c r="K61" i="2"/>
  <c r="B105" i="2"/>
  <c r="B116" i="2" s="1"/>
  <c r="B94" i="2"/>
  <c r="C105" i="2"/>
  <c r="C116" i="2" s="1"/>
  <c r="C94" i="2"/>
  <c r="D105" i="2"/>
  <c r="D94" i="2"/>
  <c r="D116" i="2"/>
  <c r="E105" i="2"/>
  <c r="E94" i="2"/>
  <c r="E116" i="2" s="1"/>
  <c r="F105" i="2"/>
  <c r="F116" i="2" s="1"/>
  <c r="F94" i="2"/>
  <c r="G105" i="2"/>
  <c r="G116" i="2" s="1"/>
  <c r="G94" i="2"/>
  <c r="H105" i="2"/>
  <c r="H94" i="2"/>
  <c r="H116" i="2"/>
  <c r="I105" i="2"/>
  <c r="I94" i="2"/>
  <c r="I116" i="2" s="1"/>
  <c r="J105" i="2"/>
  <c r="J116" i="2" s="1"/>
  <c r="J94" i="2"/>
  <c r="K105" i="2"/>
  <c r="K116" i="2" s="1"/>
  <c r="K94" i="2"/>
  <c r="B104" i="2"/>
  <c r="B115" i="2" s="1"/>
  <c r="B93" i="2"/>
  <c r="C104" i="2"/>
  <c r="C93" i="2"/>
  <c r="C115" i="2"/>
  <c r="D104" i="2"/>
  <c r="D93" i="2"/>
  <c r="D115" i="2" s="1"/>
  <c r="E104" i="2"/>
  <c r="E115" i="2" s="1"/>
  <c r="E93" i="2"/>
  <c r="F104" i="2"/>
  <c r="F115" i="2" s="1"/>
  <c r="F93" i="2"/>
  <c r="G104" i="2"/>
  <c r="G93" i="2"/>
  <c r="G115" i="2"/>
  <c r="H104" i="2"/>
  <c r="H93" i="2"/>
  <c r="H115" i="2" s="1"/>
  <c r="I104" i="2"/>
  <c r="I115" i="2" s="1"/>
  <c r="I93" i="2"/>
  <c r="J104" i="2"/>
  <c r="J115" i="2" s="1"/>
  <c r="J93" i="2"/>
  <c r="K104" i="2"/>
  <c r="K93" i="2"/>
  <c r="K115" i="2"/>
  <c r="B103" i="2"/>
  <c r="B92" i="2"/>
  <c r="B114" i="2"/>
  <c r="C103" i="2"/>
  <c r="C92" i="2"/>
  <c r="C114" i="2" s="1"/>
  <c r="D103" i="2"/>
  <c r="D114" i="2" s="1"/>
  <c r="D92" i="2"/>
  <c r="E103" i="2"/>
  <c r="E114" i="2" s="1"/>
  <c r="E92" i="2"/>
  <c r="F103" i="2"/>
  <c r="F92" i="2"/>
  <c r="F114" i="2"/>
  <c r="G103" i="2"/>
  <c r="G92" i="2"/>
  <c r="G114" i="2" s="1"/>
  <c r="H103" i="2"/>
  <c r="H114" i="2" s="1"/>
  <c r="H92" i="2"/>
  <c r="I103" i="2"/>
  <c r="I114" i="2" s="1"/>
  <c r="I92" i="2"/>
  <c r="J103" i="2"/>
  <c r="J92" i="2"/>
  <c r="J114" i="2"/>
  <c r="K103" i="2"/>
  <c r="K92" i="2"/>
  <c r="K114" i="2" s="1"/>
  <c r="B102" i="2"/>
  <c r="B91" i="2"/>
  <c r="B113" i="2" s="1"/>
  <c r="C102" i="2"/>
  <c r="C113" i="2" s="1"/>
  <c r="C91" i="2"/>
  <c r="D102" i="2"/>
  <c r="D113" i="2" s="1"/>
  <c r="D91" i="2"/>
  <c r="E102" i="2"/>
  <c r="E91" i="2"/>
  <c r="E113" i="2"/>
  <c r="F102" i="2"/>
  <c r="F91" i="2"/>
  <c r="F113" i="2" s="1"/>
  <c r="G102" i="2"/>
  <c r="G113" i="2" s="1"/>
  <c r="G91" i="2"/>
  <c r="H102" i="2"/>
  <c r="H113" i="2" s="1"/>
  <c r="H91" i="2"/>
  <c r="I102" i="2"/>
  <c r="I91" i="2"/>
  <c r="I113" i="2"/>
  <c r="J102" i="2"/>
  <c r="J91" i="2"/>
  <c r="J113" i="2" s="1"/>
  <c r="K102" i="2"/>
  <c r="K113" i="2" s="1"/>
  <c r="K91" i="2"/>
  <c r="B101" i="2"/>
  <c r="B112" i="2" s="1"/>
  <c r="B90" i="2"/>
  <c r="C101" i="2"/>
  <c r="C112" i="2" s="1"/>
  <c r="C90" i="2"/>
  <c r="D101" i="2"/>
  <c r="D90" i="2"/>
  <c r="D112" i="2"/>
  <c r="E101" i="2"/>
  <c r="E90" i="2"/>
  <c r="E112" i="2" s="1"/>
  <c r="F101" i="2"/>
  <c r="F112" i="2" s="1"/>
  <c r="F90" i="2"/>
  <c r="G101" i="2"/>
  <c r="G112" i="2" s="1"/>
  <c r="G90" i="2"/>
  <c r="H101" i="2"/>
  <c r="H90" i="2"/>
  <c r="H112" i="2"/>
  <c r="I101" i="2"/>
  <c r="I90" i="2"/>
  <c r="I112" i="2" s="1"/>
  <c r="J101" i="2"/>
  <c r="J112" i="2" s="1"/>
  <c r="J90" i="2"/>
  <c r="K101" i="2"/>
  <c r="K112" i="2" s="1"/>
  <c r="K90" i="2"/>
  <c r="B100" i="2"/>
  <c r="B111" i="2" s="1"/>
  <c r="B89" i="2"/>
  <c r="C100" i="2"/>
  <c r="C89" i="2"/>
  <c r="C111" i="2"/>
  <c r="D100" i="2"/>
  <c r="D89" i="2"/>
  <c r="D111" i="2" s="1"/>
  <c r="E100" i="2"/>
  <c r="E111" i="2" s="1"/>
  <c r="E89" i="2"/>
  <c r="F100" i="2"/>
  <c r="F111" i="2" s="1"/>
  <c r="F89" i="2"/>
  <c r="G100" i="2"/>
  <c r="G89" i="2"/>
  <c r="G111" i="2"/>
  <c r="H100" i="2"/>
  <c r="H89" i="2"/>
  <c r="H111" i="2" s="1"/>
  <c r="I100" i="2"/>
  <c r="I111" i="2" s="1"/>
  <c r="I89" i="2"/>
  <c r="J100" i="2"/>
  <c r="J111" i="2" s="1"/>
  <c r="J89" i="2"/>
  <c r="K100" i="2"/>
  <c r="K89" i="2"/>
  <c r="K111" i="2"/>
  <c r="B99" i="2"/>
  <c r="B88" i="2"/>
  <c r="B110" i="2"/>
  <c r="C99" i="2"/>
  <c r="C88" i="2"/>
  <c r="C110" i="2" s="1"/>
  <c r="D99" i="2"/>
  <c r="D110" i="2" s="1"/>
  <c r="D88" i="2"/>
  <c r="E99" i="2"/>
  <c r="E110" i="2" s="1"/>
  <c r="E88" i="2"/>
  <c r="F99" i="2"/>
  <c r="F88" i="2"/>
  <c r="F110" i="2"/>
  <c r="G99" i="2"/>
  <c r="G88" i="2"/>
  <c r="G110" i="2" s="1"/>
  <c r="H99" i="2"/>
  <c r="H110" i="2" s="1"/>
  <c r="H88" i="2"/>
  <c r="I99" i="2"/>
  <c r="I110" i="2" s="1"/>
  <c r="I88" i="2"/>
  <c r="J99" i="2"/>
  <c r="J88" i="2"/>
  <c r="J110" i="2"/>
  <c r="K99" i="2"/>
  <c r="K88" i="2"/>
  <c r="K110" i="2" s="1"/>
  <c r="B98" i="2"/>
  <c r="B87" i="2"/>
  <c r="B109" i="2" s="1"/>
  <c r="C98" i="2"/>
  <c r="C109" i="2" s="1"/>
  <c r="C87" i="2"/>
  <c r="D98" i="2"/>
  <c r="D109" i="2" s="1"/>
  <c r="D87" i="2"/>
  <c r="E98" i="2"/>
  <c r="E87" i="2"/>
  <c r="E109" i="2"/>
  <c r="F98" i="2"/>
  <c r="F87" i="2"/>
  <c r="F109" i="2" s="1"/>
  <c r="G98" i="2"/>
  <c r="G109" i="2" s="1"/>
  <c r="G87" i="2"/>
  <c r="H98" i="2"/>
  <c r="H109" i="2" s="1"/>
  <c r="H87" i="2"/>
  <c r="I98" i="2"/>
  <c r="I87" i="2"/>
  <c r="I109" i="2"/>
  <c r="J98" i="2"/>
  <c r="J87" i="2"/>
  <c r="J109" i="2" s="1"/>
  <c r="K98" i="2"/>
  <c r="K109" i="2" s="1"/>
  <c r="K87" i="2"/>
  <c r="B139" i="2"/>
  <c r="C128" i="2"/>
  <c r="D139" i="2"/>
  <c r="E128" i="2"/>
  <c r="F139" i="2"/>
  <c r="F150" i="2" s="1"/>
  <c r="G128" i="2"/>
  <c r="H139" i="2"/>
  <c r="I128" i="2"/>
  <c r="J139" i="2"/>
  <c r="J150" i="2" s="1"/>
  <c r="K128" i="2"/>
  <c r="B138" i="2"/>
  <c r="B149" i="2" s="1"/>
  <c r="B127" i="2"/>
  <c r="C138" i="2"/>
  <c r="C127" i="2"/>
  <c r="C149" i="2"/>
  <c r="D138" i="2"/>
  <c r="D127" i="2"/>
  <c r="D149" i="2" s="1"/>
  <c r="E138" i="2"/>
  <c r="E149" i="2" s="1"/>
  <c r="E127" i="2"/>
  <c r="F138" i="2"/>
  <c r="F149" i="2" s="1"/>
  <c r="F127" i="2"/>
  <c r="G138" i="2"/>
  <c r="G127" i="2"/>
  <c r="G149" i="2"/>
  <c r="H138" i="2"/>
  <c r="H127" i="2"/>
  <c r="H149" i="2" s="1"/>
  <c r="I138" i="2"/>
  <c r="I149" i="2" s="1"/>
  <c r="I127" i="2"/>
  <c r="J138" i="2"/>
  <c r="J149" i="2" s="1"/>
  <c r="J127" i="2"/>
  <c r="K138" i="2"/>
  <c r="K127" i="2"/>
  <c r="K149" i="2"/>
  <c r="B137" i="2"/>
  <c r="B126" i="2"/>
  <c r="B148" i="2"/>
  <c r="C137" i="2"/>
  <c r="C126" i="2"/>
  <c r="C148" i="2" s="1"/>
  <c r="M148" i="2" s="1"/>
  <c r="D137" i="2"/>
  <c r="D148" i="2" s="1"/>
  <c r="D126" i="2"/>
  <c r="E137" i="2"/>
  <c r="E148" i="2" s="1"/>
  <c r="E126" i="2"/>
  <c r="F137" i="2"/>
  <c r="F126" i="2"/>
  <c r="F148" i="2"/>
  <c r="G137" i="2"/>
  <c r="G126" i="2"/>
  <c r="G148" i="2" s="1"/>
  <c r="H137" i="2"/>
  <c r="H148" i="2" s="1"/>
  <c r="H126" i="2"/>
  <c r="I137" i="2"/>
  <c r="I148" i="2" s="1"/>
  <c r="I126" i="2"/>
  <c r="J137" i="2"/>
  <c r="J126" i="2"/>
  <c r="J148" i="2"/>
  <c r="K137" i="2"/>
  <c r="K126" i="2"/>
  <c r="K148" i="2" s="1"/>
  <c r="B136" i="2"/>
  <c r="B125" i="2"/>
  <c r="B147" i="2" s="1"/>
  <c r="M147" i="2" s="1"/>
  <c r="C136" i="2"/>
  <c r="C147" i="2" s="1"/>
  <c r="C125" i="2"/>
  <c r="D136" i="2"/>
  <c r="D147" i="2" s="1"/>
  <c r="D125" i="2"/>
  <c r="E136" i="2"/>
  <c r="E125" i="2"/>
  <c r="E147" i="2"/>
  <c r="F136" i="2"/>
  <c r="F125" i="2"/>
  <c r="F147" i="2" s="1"/>
  <c r="G136" i="2"/>
  <c r="G147" i="2" s="1"/>
  <c r="G125" i="2"/>
  <c r="H136" i="2"/>
  <c r="H147" i="2" s="1"/>
  <c r="H125" i="2"/>
  <c r="I136" i="2"/>
  <c r="I125" i="2"/>
  <c r="I147" i="2"/>
  <c r="J136" i="2"/>
  <c r="J125" i="2"/>
  <c r="J147" i="2" s="1"/>
  <c r="K136" i="2"/>
  <c r="K147" i="2" s="1"/>
  <c r="K125" i="2"/>
  <c r="B135" i="2"/>
  <c r="B146" i="2" s="1"/>
  <c r="B124" i="2"/>
  <c r="C135" i="2"/>
  <c r="C146" i="2" s="1"/>
  <c r="C124" i="2"/>
  <c r="D135" i="2"/>
  <c r="D124" i="2"/>
  <c r="D146" i="2"/>
  <c r="E135" i="2"/>
  <c r="E124" i="2"/>
  <c r="E146" i="2" s="1"/>
  <c r="F135" i="2"/>
  <c r="F146" i="2" s="1"/>
  <c r="F124" i="2"/>
  <c r="G135" i="2"/>
  <c r="G146" i="2" s="1"/>
  <c r="G124" i="2"/>
  <c r="H135" i="2"/>
  <c r="H124" i="2"/>
  <c r="H146" i="2"/>
  <c r="I135" i="2"/>
  <c r="I124" i="2"/>
  <c r="I146" i="2" s="1"/>
  <c r="J135" i="2"/>
  <c r="J146" i="2" s="1"/>
  <c r="J124" i="2"/>
  <c r="K135" i="2"/>
  <c r="K146" i="2" s="1"/>
  <c r="K124" i="2"/>
  <c r="B134" i="2"/>
  <c r="B145" i="2" s="1"/>
  <c r="B123" i="2"/>
  <c r="C134" i="2"/>
  <c r="C123" i="2"/>
  <c r="C145" i="2"/>
  <c r="D134" i="2"/>
  <c r="D123" i="2"/>
  <c r="D145" i="2" s="1"/>
  <c r="E134" i="2"/>
  <c r="E145" i="2" s="1"/>
  <c r="E123" i="2"/>
  <c r="F134" i="2"/>
  <c r="F145" i="2" s="1"/>
  <c r="F123" i="2"/>
  <c r="G134" i="2"/>
  <c r="G123" i="2"/>
  <c r="G145" i="2"/>
  <c r="H134" i="2"/>
  <c r="H123" i="2"/>
  <c r="H145" i="2" s="1"/>
  <c r="I134" i="2"/>
  <c r="I145" i="2" s="1"/>
  <c r="I123" i="2"/>
  <c r="J134" i="2"/>
  <c r="J145" i="2" s="1"/>
  <c r="J123" i="2"/>
  <c r="K134" i="2"/>
  <c r="K123" i="2"/>
  <c r="K145" i="2"/>
  <c r="B133" i="2"/>
  <c r="B122" i="2"/>
  <c r="B144" i="2"/>
  <c r="C133" i="2"/>
  <c r="C122" i="2"/>
  <c r="C144" i="2" s="1"/>
  <c r="D133" i="2"/>
  <c r="D144" i="2" s="1"/>
  <c r="D122" i="2"/>
  <c r="E133" i="2"/>
  <c r="E144" i="2" s="1"/>
  <c r="E122" i="2"/>
  <c r="F133" i="2"/>
  <c r="F122" i="2"/>
  <c r="F144" i="2"/>
  <c r="G133" i="2"/>
  <c r="G122" i="2"/>
  <c r="G144" i="2" s="1"/>
  <c r="H133" i="2"/>
  <c r="H144" i="2" s="1"/>
  <c r="H122" i="2"/>
  <c r="I133" i="2"/>
  <c r="I144" i="2" s="1"/>
  <c r="I122" i="2"/>
  <c r="J133" i="2"/>
  <c r="J122" i="2"/>
  <c r="J144" i="2"/>
  <c r="K133" i="2"/>
  <c r="K122" i="2"/>
  <c r="K144" i="2" s="1"/>
  <c r="B132" i="2"/>
  <c r="B121" i="2"/>
  <c r="B143" i="2" s="1"/>
  <c r="C132" i="2"/>
  <c r="C143" i="2" s="1"/>
  <c r="C121" i="2"/>
  <c r="D132" i="2"/>
  <c r="D143" i="2" s="1"/>
  <c r="D121" i="2"/>
  <c r="E132" i="2"/>
  <c r="E121" i="2"/>
  <c r="E143" i="2"/>
  <c r="F132" i="2"/>
  <c r="F121" i="2"/>
  <c r="F143" i="2" s="1"/>
  <c r="G132" i="2"/>
  <c r="G143" i="2" s="1"/>
  <c r="G121" i="2"/>
  <c r="H132" i="2"/>
  <c r="H143" i="2" s="1"/>
  <c r="H121" i="2"/>
  <c r="I132" i="2"/>
  <c r="I121" i="2"/>
  <c r="I143" i="2"/>
  <c r="J132" i="2"/>
  <c r="J121" i="2"/>
  <c r="J143" i="2" s="1"/>
  <c r="K132" i="2"/>
  <c r="K143" i="2" s="1"/>
  <c r="K121" i="2"/>
  <c r="B131" i="2"/>
  <c r="B142" i="2" s="1"/>
  <c r="B120" i="2"/>
  <c r="C131" i="2"/>
  <c r="C142" i="2" s="1"/>
  <c r="C120" i="2"/>
  <c r="D131" i="2"/>
  <c r="D120" i="2"/>
  <c r="D142" i="2"/>
  <c r="E131" i="2"/>
  <c r="E120" i="2"/>
  <c r="E142" i="2" s="1"/>
  <c r="F131" i="2"/>
  <c r="F142" i="2" s="1"/>
  <c r="F120" i="2"/>
  <c r="G131" i="2"/>
  <c r="G142" i="2" s="1"/>
  <c r="G120" i="2"/>
  <c r="H131" i="2"/>
  <c r="H120" i="2"/>
  <c r="H142" i="2"/>
  <c r="I131" i="2"/>
  <c r="I120" i="2"/>
  <c r="I142" i="2" s="1"/>
  <c r="J131" i="2"/>
  <c r="J142" i="2" s="1"/>
  <c r="J120" i="2"/>
  <c r="K131" i="2"/>
  <c r="K142" i="2" s="1"/>
  <c r="K120" i="2"/>
  <c r="L73" i="2"/>
  <c r="L37" i="2"/>
  <c r="L95" i="2" s="1"/>
  <c r="L25" i="2"/>
  <c r="L13" i="2"/>
  <c r="L4" i="2"/>
  <c r="M113" i="2" l="1"/>
  <c r="M114" i="2"/>
  <c r="M146" i="2"/>
  <c r="M149" i="2"/>
  <c r="M112" i="2"/>
  <c r="M115" i="2"/>
  <c r="G117" i="2"/>
  <c r="F22" i="4"/>
  <c r="H37" i="4"/>
  <c r="H41" i="4"/>
  <c r="B51" i="4"/>
  <c r="B45" i="4"/>
  <c r="G41" i="4"/>
  <c r="L114" i="2"/>
  <c r="G37" i="4"/>
  <c r="G7" i="4"/>
  <c r="G35" i="4" s="1"/>
  <c r="C7" i="4"/>
  <c r="D7" i="4" s="1"/>
  <c r="B52" i="18"/>
  <c r="M142" i="2"/>
  <c r="M111" i="2"/>
  <c r="M116" i="2"/>
  <c r="B24" i="4"/>
  <c r="B47" i="4"/>
  <c r="B52" i="4" s="1"/>
  <c r="B50" i="4"/>
  <c r="D6" i="4"/>
  <c r="D34" i="4" s="1"/>
  <c r="C34" i="4" s="1"/>
  <c r="H6" i="4"/>
  <c r="H34" i="4" s="1"/>
  <c r="M145" i="2"/>
  <c r="M143" i="2"/>
  <c r="M144" i="2"/>
  <c r="M109" i="2"/>
  <c r="M110" i="2"/>
  <c r="F117" i="2"/>
  <c r="E117" i="2"/>
  <c r="C12" i="4"/>
  <c r="G12" i="4"/>
  <c r="E24" i="4"/>
  <c r="K106" i="2"/>
  <c r="K117" i="2" s="1"/>
  <c r="J95" i="2"/>
  <c r="J117" i="2" s="1"/>
  <c r="F95" i="2"/>
  <c r="B128" i="2"/>
  <c r="B150" i="2" s="1"/>
  <c r="M150" i="2" s="1"/>
  <c r="L99" i="2"/>
  <c r="L110" i="2" s="1"/>
  <c r="L90" i="2"/>
  <c r="L94" i="2"/>
  <c r="C11" i="4"/>
  <c r="G11" i="4" s="1"/>
  <c r="G39" i="4" s="1"/>
  <c r="L137" i="2"/>
  <c r="L148" i="2" s="1"/>
  <c r="E10" i="4"/>
  <c r="K12" i="3"/>
  <c r="B19" i="18"/>
  <c r="B23" i="18"/>
  <c r="C12" i="18"/>
  <c r="C10" i="18"/>
  <c r="M26" i="18"/>
  <c r="C8" i="18"/>
  <c r="C6" i="18"/>
  <c r="E14" i="18"/>
  <c r="B34" i="19"/>
  <c r="B43" i="19" s="1"/>
  <c r="B47" i="19"/>
  <c r="B23" i="19"/>
  <c r="H7" i="4"/>
  <c r="H35" i="4" s="1"/>
  <c r="H11" i="4"/>
  <c r="G11" i="19"/>
  <c r="G40" i="19" s="1"/>
  <c r="H11" i="19"/>
  <c r="H40" i="19" s="1"/>
  <c r="F40" i="19" s="1"/>
  <c r="D11" i="19"/>
  <c r="D40" i="19" s="1"/>
  <c r="C40" i="19" s="1"/>
  <c r="G7" i="19"/>
  <c r="G36" i="19" s="1"/>
  <c r="H7" i="19"/>
  <c r="H36" i="19" s="1"/>
  <c r="D7" i="19"/>
  <c r="D36" i="19" s="1"/>
  <c r="C36" i="19" s="1"/>
  <c r="L12" i="3"/>
  <c r="B34" i="20"/>
  <c r="D8" i="20"/>
  <c r="D37" i="20" s="1"/>
  <c r="C37" i="20" s="1"/>
  <c r="H8" i="20"/>
  <c r="H37" i="20" s="1"/>
  <c r="F37" i="20" s="1"/>
  <c r="D6" i="21"/>
  <c r="D35" i="21" s="1"/>
  <c r="C23" i="21"/>
  <c r="G23" i="21" s="1"/>
  <c r="H6" i="21"/>
  <c r="H35" i="21" s="1"/>
  <c r="C14" i="21"/>
  <c r="L49" i="2"/>
  <c r="G139" i="2"/>
  <c r="G150" i="2" s="1"/>
  <c r="C139" i="2"/>
  <c r="C150" i="2" s="1"/>
  <c r="F23" i="4"/>
  <c r="L101" i="2"/>
  <c r="L112" i="2" s="1"/>
  <c r="D37" i="4" s="1"/>
  <c r="C37" i="4" s="1"/>
  <c r="L105" i="2"/>
  <c r="L116" i="2" s="1"/>
  <c r="D41" i="4" s="1"/>
  <c r="C41" i="4" s="1"/>
  <c r="G6" i="4"/>
  <c r="G34" i="4" s="1"/>
  <c r="L125" i="2"/>
  <c r="L147" i="2" s="1"/>
  <c r="F24" i="18"/>
  <c r="F23" i="18"/>
  <c r="E24" i="19"/>
  <c r="B29" i="19"/>
  <c r="M27" i="19"/>
  <c r="D10" i="19"/>
  <c r="D39" i="19" s="1"/>
  <c r="C39" i="19" s="1"/>
  <c r="F39" i="19" s="1"/>
  <c r="G10" i="19"/>
  <c r="G39" i="19" s="1"/>
  <c r="E39" i="19" s="1"/>
  <c r="F14" i="19"/>
  <c r="M24" i="19"/>
  <c r="C6" i="19"/>
  <c r="D4" i="28"/>
  <c r="F40" i="21"/>
  <c r="C8" i="4"/>
  <c r="G8" i="4"/>
  <c r="G36" i="4" s="1"/>
  <c r="B19" i="14"/>
  <c r="L146" i="2"/>
  <c r="B3" i="28"/>
  <c r="F14" i="18"/>
  <c r="G13" i="18"/>
  <c r="G42" i="18" s="1"/>
  <c r="H13" i="18"/>
  <c r="H42" i="18" s="1"/>
  <c r="C11" i="18"/>
  <c r="E24" i="18"/>
  <c r="G9" i="18"/>
  <c r="G38" i="18" s="1"/>
  <c r="E38" i="18" s="1"/>
  <c r="H9" i="18"/>
  <c r="H38" i="18" s="1"/>
  <c r="F38" i="18" s="1"/>
  <c r="C7" i="18"/>
  <c r="M25" i="18"/>
  <c r="M23" i="18" s="1"/>
  <c r="C6" i="28"/>
  <c r="D13" i="19"/>
  <c r="D42" i="19" s="1"/>
  <c r="C42" i="19" s="1"/>
  <c r="E42" i="19" s="1"/>
  <c r="H13" i="19"/>
  <c r="H42" i="19" s="1"/>
  <c r="F42" i="19" s="1"/>
  <c r="H12" i="19"/>
  <c r="H41" i="19" s="1"/>
  <c r="G12" i="19"/>
  <c r="G41" i="19" s="1"/>
  <c r="C9" i="19"/>
  <c r="E14" i="19"/>
  <c r="M26" i="19"/>
  <c r="H8" i="19"/>
  <c r="H37" i="19" s="1"/>
  <c r="G8" i="19"/>
  <c r="G37" i="19" s="1"/>
  <c r="G8" i="20"/>
  <c r="G37" i="20" s="1"/>
  <c r="E37" i="20" s="1"/>
  <c r="F14" i="20"/>
  <c r="E42" i="21"/>
  <c r="D10" i="21"/>
  <c r="D39" i="21" s="1"/>
  <c r="H10" i="21"/>
  <c r="H39" i="21" s="1"/>
  <c r="B52" i="21"/>
  <c r="B46" i="21"/>
  <c r="B51" i="21" s="1"/>
  <c r="B52" i="20"/>
  <c r="C11" i="20"/>
  <c r="M27" i="20"/>
  <c r="F24" i="20"/>
  <c r="H10" i="20"/>
  <c r="H39" i="20" s="1"/>
  <c r="D10" i="20"/>
  <c r="D39" i="20" s="1"/>
  <c r="C39" i="20" s="1"/>
  <c r="E39" i="20" s="1"/>
  <c r="H6" i="20"/>
  <c r="H35" i="20" s="1"/>
  <c r="D6" i="20"/>
  <c r="D35" i="20" s="1"/>
  <c r="C35" i="20" s="1"/>
  <c r="B14" i="20"/>
  <c r="B22" i="20" s="1"/>
  <c r="D13" i="21"/>
  <c r="D42" i="21" s="1"/>
  <c r="C42" i="21" s="1"/>
  <c r="G11" i="21"/>
  <c r="G40" i="21" s="1"/>
  <c r="E40" i="21" s="1"/>
  <c r="C24" i="21"/>
  <c r="B29" i="21" s="1"/>
  <c r="D9" i="21"/>
  <c r="D38" i="21" s="1"/>
  <c r="C38" i="21" s="1"/>
  <c r="E38" i="21" s="1"/>
  <c r="H11" i="22"/>
  <c r="H40" i="22" s="1"/>
  <c r="C24" i="22"/>
  <c r="G11" i="22"/>
  <c r="G40" i="22" s="1"/>
  <c r="H7" i="22"/>
  <c r="H36" i="22" s="1"/>
  <c r="F36" i="22" s="1"/>
  <c r="G7" i="22"/>
  <c r="G36" i="22" s="1"/>
  <c r="F14" i="22"/>
  <c r="D12" i="24"/>
  <c r="D41" i="24" s="1"/>
  <c r="H12" i="24"/>
  <c r="H41" i="24" s="1"/>
  <c r="G12" i="24"/>
  <c r="G41" i="24" s="1"/>
  <c r="H12" i="21"/>
  <c r="H41" i="21" s="1"/>
  <c r="D12" i="21"/>
  <c r="D41" i="21" s="1"/>
  <c r="C41" i="21" s="1"/>
  <c r="C53" i="21" s="1"/>
  <c r="B58" i="21" s="1"/>
  <c r="H8" i="21"/>
  <c r="H37" i="21" s="1"/>
  <c r="F37" i="21" s="1"/>
  <c r="D8" i="21"/>
  <c r="D37" i="21" s="1"/>
  <c r="C37" i="21" s="1"/>
  <c r="E37" i="21" s="1"/>
  <c r="F4" i="28"/>
  <c r="G24" i="22"/>
  <c r="B24" i="22"/>
  <c r="B29" i="22" s="1"/>
  <c r="B48" i="22"/>
  <c r="D13" i="22"/>
  <c r="D42" i="22" s="1"/>
  <c r="G13" i="22"/>
  <c r="G42" i="22" s="1"/>
  <c r="D12" i="22"/>
  <c r="D41" i="22" s="1"/>
  <c r="C41" i="22" s="1"/>
  <c r="H12" i="22"/>
  <c r="H41" i="22" s="1"/>
  <c r="D9" i="22"/>
  <c r="D38" i="22" s="1"/>
  <c r="G9" i="22"/>
  <c r="G38" i="22" s="1"/>
  <c r="C8" i="22"/>
  <c r="E23" i="22"/>
  <c r="C22" i="25"/>
  <c r="E23" i="19"/>
  <c r="D6" i="28"/>
  <c r="C13" i="20"/>
  <c r="D13" i="20" s="1"/>
  <c r="D42" i="20" s="1"/>
  <c r="C12" i="20"/>
  <c r="H7" i="20"/>
  <c r="H36" i="20" s="1"/>
  <c r="M26" i="21"/>
  <c r="B23" i="21"/>
  <c r="B28" i="21" s="1"/>
  <c r="G10" i="21"/>
  <c r="G39" i="21" s="1"/>
  <c r="D7" i="21"/>
  <c r="D36" i="21" s="1"/>
  <c r="C36" i="21" s="1"/>
  <c r="E36" i="21" s="1"/>
  <c r="G6" i="21"/>
  <c r="G35" i="21" s="1"/>
  <c r="B52" i="22"/>
  <c r="E14" i="22"/>
  <c r="D10" i="23"/>
  <c r="D39" i="23" s="1"/>
  <c r="C39" i="23" s="1"/>
  <c r="H10" i="23"/>
  <c r="H39" i="23" s="1"/>
  <c r="D8" i="24"/>
  <c r="D37" i="24" s="1"/>
  <c r="H8" i="24"/>
  <c r="H37" i="24" s="1"/>
  <c r="G8" i="24"/>
  <c r="G37" i="24" s="1"/>
  <c r="F24" i="19"/>
  <c r="M25" i="20"/>
  <c r="E23" i="20"/>
  <c r="E14" i="20"/>
  <c r="G13" i="20"/>
  <c r="G42" i="20" s="1"/>
  <c r="C9" i="20"/>
  <c r="D7" i="20"/>
  <c r="D36" i="20" s="1"/>
  <c r="C36" i="20" s="1"/>
  <c r="E36" i="20" s="1"/>
  <c r="G24" i="21"/>
  <c r="M24" i="21"/>
  <c r="H13" i="21"/>
  <c r="H42" i="21" s="1"/>
  <c r="F42" i="21" s="1"/>
  <c r="M27" i="21"/>
  <c r="F24" i="21"/>
  <c r="H9" i="21"/>
  <c r="H38" i="21" s="1"/>
  <c r="F14" i="21"/>
  <c r="F23" i="21"/>
  <c r="B14" i="21"/>
  <c r="B22" i="21" s="1"/>
  <c r="G12" i="22"/>
  <c r="G41" i="22" s="1"/>
  <c r="D11" i="22"/>
  <c r="D40" i="22" s="1"/>
  <c r="C40" i="22" s="1"/>
  <c r="C53" i="22" s="1"/>
  <c r="G10" i="22"/>
  <c r="G39" i="22" s="1"/>
  <c r="H10" i="22"/>
  <c r="H39" i="22" s="1"/>
  <c r="D10" i="22"/>
  <c r="D39" i="22" s="1"/>
  <c r="G8" i="22"/>
  <c r="G37" i="22" s="1"/>
  <c r="D7" i="22"/>
  <c r="D36" i="22" s="1"/>
  <c r="C36" i="22" s="1"/>
  <c r="G6" i="22"/>
  <c r="G35" i="22" s="1"/>
  <c r="E35" i="22" s="1"/>
  <c r="H6" i="22"/>
  <c r="H35" i="22" s="1"/>
  <c r="F35" i="22" s="1"/>
  <c r="D6" i="22"/>
  <c r="D35" i="22" s="1"/>
  <c r="C23" i="22"/>
  <c r="B28" i="22" s="1"/>
  <c r="B14" i="22"/>
  <c r="B22" i="22" s="1"/>
  <c r="B51" i="23"/>
  <c r="G6" i="28"/>
  <c r="D6" i="23"/>
  <c r="D35" i="23" s="1"/>
  <c r="C35" i="23" s="1"/>
  <c r="H6" i="23"/>
  <c r="H35" i="23" s="1"/>
  <c r="F35" i="23" s="1"/>
  <c r="C14" i="23"/>
  <c r="M25" i="21"/>
  <c r="F24" i="22"/>
  <c r="M27" i="22"/>
  <c r="M25" i="23"/>
  <c r="E14" i="23"/>
  <c r="D13" i="23"/>
  <c r="D42" i="23" s="1"/>
  <c r="C11" i="23"/>
  <c r="D9" i="23"/>
  <c r="D38" i="23" s="1"/>
  <c r="C38" i="23" s="1"/>
  <c r="E38" i="23" s="1"/>
  <c r="C7" i="23"/>
  <c r="B24" i="24"/>
  <c r="E23" i="24"/>
  <c r="E14" i="24"/>
  <c r="B46" i="25"/>
  <c r="B51" i="25"/>
  <c r="M26" i="25"/>
  <c r="M27" i="25"/>
  <c r="F24" i="25"/>
  <c r="B14" i="25"/>
  <c r="B22" i="25" s="1"/>
  <c r="B27" i="25" s="1"/>
  <c r="J4" i="28"/>
  <c r="H8" i="26"/>
  <c r="H37" i="26" s="1"/>
  <c r="D8" i="26"/>
  <c r="D37" i="26" s="1"/>
  <c r="G8" i="26"/>
  <c r="G37" i="26" s="1"/>
  <c r="D6" i="26"/>
  <c r="D35" i="26" s="1"/>
  <c r="C23" i="26"/>
  <c r="G23" i="26" s="1"/>
  <c r="G6" i="26"/>
  <c r="G35" i="26" s="1"/>
  <c r="C14" i="26"/>
  <c r="H6" i="26"/>
  <c r="H35" i="26" s="1"/>
  <c r="B43" i="27"/>
  <c r="B51" i="27" s="1"/>
  <c r="B52" i="27"/>
  <c r="H13" i="27"/>
  <c r="H42" i="27" s="1"/>
  <c r="F42" i="27" s="1"/>
  <c r="D13" i="27"/>
  <c r="D42" i="27" s="1"/>
  <c r="G13" i="27"/>
  <c r="G42" i="27" s="1"/>
  <c r="H9" i="27"/>
  <c r="H38" i="27" s="1"/>
  <c r="D9" i="27"/>
  <c r="D38" i="27" s="1"/>
  <c r="C38" i="27" s="1"/>
  <c r="C14" i="27"/>
  <c r="G9" i="27"/>
  <c r="G38" i="27" s="1"/>
  <c r="H12" i="23"/>
  <c r="H41" i="23" s="1"/>
  <c r="D12" i="23"/>
  <c r="D41" i="23" s="1"/>
  <c r="H8" i="23"/>
  <c r="H37" i="23" s="1"/>
  <c r="D8" i="23"/>
  <c r="D37" i="23" s="1"/>
  <c r="B51" i="24"/>
  <c r="F42" i="25"/>
  <c r="D11" i="25"/>
  <c r="D40" i="25" s="1"/>
  <c r="G11" i="25"/>
  <c r="G40" i="25" s="1"/>
  <c r="E40" i="25" s="1"/>
  <c r="C24" i="25"/>
  <c r="D10" i="25"/>
  <c r="D39" i="25" s="1"/>
  <c r="H10" i="25"/>
  <c r="H39" i="25" s="1"/>
  <c r="D13" i="26"/>
  <c r="D42" i="26" s="1"/>
  <c r="G13" i="26"/>
  <c r="G42" i="26" s="1"/>
  <c r="H13" i="26"/>
  <c r="H42" i="26" s="1"/>
  <c r="J3" i="28"/>
  <c r="M25" i="22"/>
  <c r="F23" i="22"/>
  <c r="B52" i="23"/>
  <c r="F24" i="23"/>
  <c r="G10" i="23"/>
  <c r="G39" i="23" s="1"/>
  <c r="E39" i="23" s="1"/>
  <c r="G6" i="23"/>
  <c r="G35" i="23" s="1"/>
  <c r="E35" i="23" s="1"/>
  <c r="B52" i="24"/>
  <c r="H13" i="24"/>
  <c r="H42" i="24" s="1"/>
  <c r="F42" i="24" s="1"/>
  <c r="C11" i="24"/>
  <c r="M27" i="24"/>
  <c r="F24" i="24"/>
  <c r="H10" i="24"/>
  <c r="H39" i="24" s="1"/>
  <c r="F39" i="24" s="1"/>
  <c r="D10" i="24"/>
  <c r="D39" i="24" s="1"/>
  <c r="C39" i="24" s="1"/>
  <c r="E39" i="24" s="1"/>
  <c r="H9" i="24"/>
  <c r="H38" i="24" s="1"/>
  <c r="F38" i="24" s="1"/>
  <c r="C7" i="24"/>
  <c r="F23" i="24"/>
  <c r="M25" i="24"/>
  <c r="F14" i="24"/>
  <c r="H6" i="24"/>
  <c r="H35" i="24" s="1"/>
  <c r="D6" i="24"/>
  <c r="D35" i="24" s="1"/>
  <c r="C35" i="24" s="1"/>
  <c r="C23" i="24"/>
  <c r="B28" i="24" s="1"/>
  <c r="B14" i="24"/>
  <c r="B22" i="24" s="1"/>
  <c r="E42" i="25"/>
  <c r="E37" i="25"/>
  <c r="F14" i="25"/>
  <c r="D6" i="25"/>
  <c r="D35" i="25" s="1"/>
  <c r="C23" i="25"/>
  <c r="B28" i="25" s="1"/>
  <c r="G6" i="25"/>
  <c r="G35" i="25" s="1"/>
  <c r="H6" i="25"/>
  <c r="H35" i="25" s="1"/>
  <c r="F35" i="25" s="1"/>
  <c r="B24" i="26"/>
  <c r="B48" i="26"/>
  <c r="E40" i="26"/>
  <c r="H14" i="26"/>
  <c r="F22" i="26"/>
  <c r="D9" i="26"/>
  <c r="D38" i="26" s="1"/>
  <c r="G9" i="26"/>
  <c r="G38" i="26" s="1"/>
  <c r="H9" i="26"/>
  <c r="H38" i="26" s="1"/>
  <c r="G14" i="27"/>
  <c r="D11" i="27"/>
  <c r="D40" i="27" s="1"/>
  <c r="C40" i="27" s="1"/>
  <c r="C53" i="27" s="1"/>
  <c r="B58" i="27" s="1"/>
  <c r="G11" i="27"/>
  <c r="G40" i="27" s="1"/>
  <c r="H11" i="27"/>
  <c r="H40" i="27" s="1"/>
  <c r="C24" i="27"/>
  <c r="M26" i="23"/>
  <c r="F14" i="23"/>
  <c r="H13" i="23"/>
  <c r="H42" i="23" s="1"/>
  <c r="H9" i="23"/>
  <c r="H38" i="23" s="1"/>
  <c r="D13" i="24"/>
  <c r="D42" i="24" s="1"/>
  <c r="C42" i="24" s="1"/>
  <c r="E42" i="24" s="1"/>
  <c r="D9" i="24"/>
  <c r="D38" i="24" s="1"/>
  <c r="C38" i="24" s="1"/>
  <c r="E38" i="24" s="1"/>
  <c r="E23" i="25"/>
  <c r="E14" i="25"/>
  <c r="H12" i="25"/>
  <c r="H41" i="25" s="1"/>
  <c r="D12" i="25"/>
  <c r="D41" i="25" s="1"/>
  <c r="C41" i="25" s="1"/>
  <c r="E41" i="25" s="1"/>
  <c r="H11" i="25"/>
  <c r="H40" i="25" s="1"/>
  <c r="G10" i="25"/>
  <c r="G39" i="25" s="1"/>
  <c r="H9" i="25"/>
  <c r="H38" i="25" s="1"/>
  <c r="D9" i="25"/>
  <c r="D38" i="25" s="1"/>
  <c r="C38" i="25" s="1"/>
  <c r="G9" i="25"/>
  <c r="G38" i="25" s="1"/>
  <c r="D7" i="25"/>
  <c r="D36" i="25" s="1"/>
  <c r="C36" i="25" s="1"/>
  <c r="G7" i="25"/>
  <c r="G36" i="25" s="1"/>
  <c r="H7" i="25"/>
  <c r="H36" i="25" s="1"/>
  <c r="H12" i="26"/>
  <c r="H41" i="26" s="1"/>
  <c r="D12" i="26"/>
  <c r="D41" i="26" s="1"/>
  <c r="C41" i="26" s="1"/>
  <c r="C24" i="26"/>
  <c r="H24" i="26" s="1"/>
  <c r="G12" i="26"/>
  <c r="G41" i="26" s="1"/>
  <c r="E41" i="26" s="1"/>
  <c r="D10" i="26"/>
  <c r="D39" i="26" s="1"/>
  <c r="G10" i="26"/>
  <c r="G39" i="26" s="1"/>
  <c r="H10" i="26"/>
  <c r="H39" i="26" s="1"/>
  <c r="E36" i="26"/>
  <c r="G12" i="27"/>
  <c r="G41" i="27" s="1"/>
  <c r="E41" i="27" s="1"/>
  <c r="H12" i="27"/>
  <c r="H41" i="27" s="1"/>
  <c r="F41" i="27" s="1"/>
  <c r="D12" i="27"/>
  <c r="D41" i="27" s="1"/>
  <c r="C41" i="27" s="1"/>
  <c r="E37" i="27"/>
  <c r="M25" i="25"/>
  <c r="M23" i="25" s="1"/>
  <c r="F23" i="25"/>
  <c r="D8" i="25"/>
  <c r="D37" i="25" s="1"/>
  <c r="C37" i="25" s="1"/>
  <c r="M26" i="26"/>
  <c r="B23" i="26"/>
  <c r="E14" i="26"/>
  <c r="D11" i="26"/>
  <c r="D40" i="26" s="1"/>
  <c r="C40" i="26" s="1"/>
  <c r="D7" i="26"/>
  <c r="D36" i="26" s="1"/>
  <c r="C36" i="26" s="1"/>
  <c r="M25" i="27"/>
  <c r="F23" i="27"/>
  <c r="H10" i="27"/>
  <c r="H39" i="27" s="1"/>
  <c r="F39" i="27" s="1"/>
  <c r="D8" i="27"/>
  <c r="D37" i="27" s="1"/>
  <c r="C37" i="27" s="1"/>
  <c r="F37" i="27" s="1"/>
  <c r="G6" i="27"/>
  <c r="G35" i="27" s="1"/>
  <c r="E35" i="27" s="1"/>
  <c r="C42" i="18"/>
  <c r="C39" i="22"/>
  <c r="C35" i="22"/>
  <c r="F35" i="27"/>
  <c r="G10" i="27"/>
  <c r="G39" i="27" s="1"/>
  <c r="E39" i="27" s="1"/>
  <c r="H7" i="27"/>
  <c r="H36" i="27" s="1"/>
  <c r="F36" i="27" s="1"/>
  <c r="D6" i="27"/>
  <c r="D35" i="27" s="1"/>
  <c r="C35" i="27" s="1"/>
  <c r="C42" i="23"/>
  <c r="E42" i="23" s="1"/>
  <c r="H8" i="25"/>
  <c r="H37" i="25" s="1"/>
  <c r="F37" i="25" s="1"/>
  <c r="H11" i="26"/>
  <c r="H40" i="26" s="1"/>
  <c r="F40" i="26" s="1"/>
  <c r="H7" i="26"/>
  <c r="H36" i="26" s="1"/>
  <c r="F24" i="27"/>
  <c r="F14" i="27"/>
  <c r="G23" i="27"/>
  <c r="C41" i="19"/>
  <c r="C37" i="23"/>
  <c r="E37" i="23" s="1"/>
  <c r="C40" i="25"/>
  <c r="C35" i="26"/>
  <c r="C37" i="19"/>
  <c r="C41" i="24"/>
  <c r="C37" i="24"/>
  <c r="C38" i="26"/>
  <c r="D11" i="14"/>
  <c r="D40" i="14" s="1"/>
  <c r="G11" i="14"/>
  <c r="G40" i="14" s="1"/>
  <c r="F38" i="14"/>
  <c r="C12" i="14"/>
  <c r="G12" i="14"/>
  <c r="G41" i="14" s="1"/>
  <c r="H8" i="14"/>
  <c r="H37" i="14" s="1"/>
  <c r="D8" i="14"/>
  <c r="D37" i="14" s="1"/>
  <c r="C35" i="14"/>
  <c r="C37" i="26"/>
  <c r="C38" i="22"/>
  <c r="F38" i="22" s="1"/>
  <c r="C41" i="23"/>
  <c r="E41" i="23" s="1"/>
  <c r="C39" i="25"/>
  <c r="C42" i="26"/>
  <c r="C42" i="27"/>
  <c r="T11" i="3"/>
  <c r="T12" i="3" s="1"/>
  <c r="B42" i="20"/>
  <c r="C42" i="20" s="1"/>
  <c r="C37" i="14"/>
  <c r="D7" i="14"/>
  <c r="D36" i="14" s="1"/>
  <c r="G7" i="14"/>
  <c r="G36" i="14" s="1"/>
  <c r="F35" i="14"/>
  <c r="C39" i="21"/>
  <c r="C35" i="21"/>
  <c r="C42" i="22"/>
  <c r="F42" i="22" s="1"/>
  <c r="C35" i="25"/>
  <c r="C39" i="26"/>
  <c r="C42" i="14"/>
  <c r="E42" i="14" s="1"/>
  <c r="H11" i="14"/>
  <c r="H40" i="14" s="1"/>
  <c r="C39" i="14"/>
  <c r="E39" i="14" s="1"/>
  <c r="C36" i="27"/>
  <c r="E36" i="27" s="1"/>
  <c r="O25" i="27" s="1"/>
  <c r="E14" i="14"/>
  <c r="G8" i="14"/>
  <c r="G37" i="14" s="1"/>
  <c r="B40" i="14"/>
  <c r="C40" i="14" s="1"/>
  <c r="B36" i="14"/>
  <c r="F14" i="14"/>
  <c r="N23" i="18" l="1"/>
  <c r="N27" i="18"/>
  <c r="N24" i="18"/>
  <c r="N23" i="25"/>
  <c r="N24" i="25"/>
  <c r="O26" i="24"/>
  <c r="M117" i="2"/>
  <c r="G14" i="14"/>
  <c r="F42" i="14"/>
  <c r="K7" i="28"/>
  <c r="H24" i="27"/>
  <c r="E39" i="26"/>
  <c r="H14" i="23"/>
  <c r="F22" i="23"/>
  <c r="B46" i="26"/>
  <c r="B51" i="26" s="1"/>
  <c r="B53" i="26"/>
  <c r="H6" i="28"/>
  <c r="H23" i="24"/>
  <c r="F37" i="23"/>
  <c r="E38" i="27"/>
  <c r="N26" i="25"/>
  <c r="E37" i="14"/>
  <c r="F40" i="14"/>
  <c r="C43" i="25"/>
  <c r="C52" i="25"/>
  <c r="B57" i="25" s="1"/>
  <c r="H12" i="14"/>
  <c r="H41" i="14" s="1"/>
  <c r="D12" i="14"/>
  <c r="D41" i="14" s="1"/>
  <c r="C41" i="14" s="1"/>
  <c r="C53" i="14" s="1"/>
  <c r="C14" i="14"/>
  <c r="C24" i="14"/>
  <c r="H23" i="26"/>
  <c r="F36" i="26"/>
  <c r="C43" i="27"/>
  <c r="C52" i="27"/>
  <c r="K6" i="28"/>
  <c r="H23" i="27"/>
  <c r="C53" i="26"/>
  <c r="M23" i="26"/>
  <c r="F41" i="26"/>
  <c r="E36" i="25"/>
  <c r="F38" i="25"/>
  <c r="F41" i="25"/>
  <c r="G24" i="27"/>
  <c r="B29" i="27"/>
  <c r="J5" i="28"/>
  <c r="H22" i="26"/>
  <c r="B29" i="26"/>
  <c r="F35" i="24"/>
  <c r="G7" i="24"/>
  <c r="G36" i="24" s="1"/>
  <c r="D7" i="24"/>
  <c r="D36" i="24" s="1"/>
  <c r="C36" i="24" s="1"/>
  <c r="C14" i="24"/>
  <c r="H7" i="28"/>
  <c r="G7" i="28"/>
  <c r="F39" i="25"/>
  <c r="C22" i="27"/>
  <c r="D14" i="27"/>
  <c r="F35" i="26"/>
  <c r="G24" i="26"/>
  <c r="I7" i="28"/>
  <c r="H24" i="25"/>
  <c r="H3" i="28"/>
  <c r="G23" i="24"/>
  <c r="G11" i="23"/>
  <c r="G40" i="23" s="1"/>
  <c r="D11" i="23"/>
  <c r="D40" i="23" s="1"/>
  <c r="C40" i="23" s="1"/>
  <c r="C53" i="23" s="1"/>
  <c r="B58" i="23" s="1"/>
  <c r="H11" i="23"/>
  <c r="H40" i="23" s="1"/>
  <c r="C24" i="23"/>
  <c r="H24" i="23" s="1"/>
  <c r="E39" i="22"/>
  <c r="E6" i="28"/>
  <c r="H23" i="21"/>
  <c r="E22" i="20"/>
  <c r="M29" i="20"/>
  <c r="E37" i="24"/>
  <c r="F39" i="23"/>
  <c r="E22" i="22"/>
  <c r="M29" i="22"/>
  <c r="E39" i="21"/>
  <c r="C3" i="28"/>
  <c r="F3" i="28"/>
  <c r="G23" i="22"/>
  <c r="F41" i="22"/>
  <c r="B53" i="22"/>
  <c r="B58" i="22" s="1"/>
  <c r="B46" i="22"/>
  <c r="B51" i="22" s="1"/>
  <c r="F36" i="21"/>
  <c r="O25" i="21" s="1"/>
  <c r="F41" i="24"/>
  <c r="E40" i="22"/>
  <c r="F35" i="20"/>
  <c r="E37" i="19"/>
  <c r="D9" i="19"/>
  <c r="D38" i="19" s="1"/>
  <c r="C38" i="19" s="1"/>
  <c r="H9" i="19"/>
  <c r="H38" i="19" s="1"/>
  <c r="F38" i="19" s="1"/>
  <c r="G9" i="19"/>
  <c r="G38" i="19" s="1"/>
  <c r="E38" i="19" s="1"/>
  <c r="O26" i="19" s="1"/>
  <c r="D7" i="18"/>
  <c r="D36" i="18" s="1"/>
  <c r="C36" i="18" s="1"/>
  <c r="G7" i="18"/>
  <c r="G36" i="18" s="1"/>
  <c r="C24" i="18"/>
  <c r="D11" i="18"/>
  <c r="D40" i="18" s="1"/>
  <c r="C40" i="18" s="1"/>
  <c r="G11" i="18"/>
  <c r="G40" i="18" s="1"/>
  <c r="E40" i="18" s="1"/>
  <c r="B24" i="14"/>
  <c r="B48" i="14"/>
  <c r="B53" i="14" s="1"/>
  <c r="F22" i="19"/>
  <c r="B43" i="20"/>
  <c r="F36" i="19"/>
  <c r="E40" i="19"/>
  <c r="F35" i="4"/>
  <c r="M29" i="18"/>
  <c r="E22" i="18"/>
  <c r="H10" i="18"/>
  <c r="H39" i="18" s="1"/>
  <c r="D10" i="18"/>
  <c r="D39" i="18" s="1"/>
  <c r="C39" i="18" s="1"/>
  <c r="G10" i="18"/>
  <c r="G39" i="18" s="1"/>
  <c r="E39" i="18" s="1"/>
  <c r="H11" i="18"/>
  <c r="H40" i="18" s="1"/>
  <c r="H12" i="4"/>
  <c r="H40" i="4" s="1"/>
  <c r="D12" i="4"/>
  <c r="D40" i="4" s="1"/>
  <c r="C40" i="4" s="1"/>
  <c r="D35" i="4"/>
  <c r="C35" i="4" s="1"/>
  <c r="E37" i="4"/>
  <c r="M23" i="27"/>
  <c r="N25" i="27" s="1"/>
  <c r="M29" i="25"/>
  <c r="E22" i="25"/>
  <c r="G14" i="25"/>
  <c r="F38" i="26"/>
  <c r="H14" i="24"/>
  <c r="F22" i="24"/>
  <c r="F42" i="26"/>
  <c r="F41" i="23"/>
  <c r="C22" i="26"/>
  <c r="B27" i="26" s="1"/>
  <c r="D14" i="26"/>
  <c r="E37" i="26"/>
  <c r="O25" i="26" s="1"/>
  <c r="N27" i="25"/>
  <c r="F7" i="28"/>
  <c r="H24" i="22"/>
  <c r="D14" i="23"/>
  <c r="C22" i="23"/>
  <c r="B27" i="23" s="1"/>
  <c r="E37" i="22"/>
  <c r="H14" i="21"/>
  <c r="F22" i="21"/>
  <c r="D3" i="28"/>
  <c r="G23" i="20"/>
  <c r="F37" i="24"/>
  <c r="F36" i="20"/>
  <c r="O25" i="20" s="1"/>
  <c r="D14" i="25"/>
  <c r="D8" i="22"/>
  <c r="D37" i="22" s="1"/>
  <c r="C37" i="22" s="1"/>
  <c r="C52" i="22" s="1"/>
  <c r="B57" i="22" s="1"/>
  <c r="H8" i="22"/>
  <c r="H37" i="22" s="1"/>
  <c r="F37" i="22" s="1"/>
  <c r="F43" i="22" s="1"/>
  <c r="F22" i="22"/>
  <c r="G11" i="20"/>
  <c r="G40" i="20" s="1"/>
  <c r="E40" i="20" s="1"/>
  <c r="D11" i="20"/>
  <c r="D40" i="20" s="1"/>
  <c r="C40" i="20" s="1"/>
  <c r="C24" i="20"/>
  <c r="H24" i="20" s="1"/>
  <c r="F37" i="19"/>
  <c r="E41" i="19"/>
  <c r="F42" i="18"/>
  <c r="L3" i="28"/>
  <c r="E41" i="21"/>
  <c r="E53" i="21" s="1"/>
  <c r="B48" i="20"/>
  <c r="C4" i="28"/>
  <c r="G24" i="19"/>
  <c r="E34" i="4"/>
  <c r="C22" i="21"/>
  <c r="G22" i="21" s="1"/>
  <c r="D14" i="21"/>
  <c r="E36" i="19"/>
  <c r="H6" i="18"/>
  <c r="H35" i="18" s="1"/>
  <c r="D6" i="18"/>
  <c r="D35" i="18" s="1"/>
  <c r="C35" i="18" s="1"/>
  <c r="G6" i="18"/>
  <c r="G35" i="18" s="1"/>
  <c r="C14" i="18"/>
  <c r="G14" i="18" s="1"/>
  <c r="C23" i="18"/>
  <c r="G23" i="18" s="1"/>
  <c r="D12" i="18"/>
  <c r="D41" i="18" s="1"/>
  <c r="C41" i="18" s="1"/>
  <c r="G12" i="18"/>
  <c r="G41" i="18" s="1"/>
  <c r="G10" i="4"/>
  <c r="G38" i="4" s="1"/>
  <c r="C10" i="4"/>
  <c r="F34" i="4"/>
  <c r="E35" i="4"/>
  <c r="H7" i="18"/>
  <c r="H36" i="18" s="1"/>
  <c r="F36" i="18" s="1"/>
  <c r="F37" i="4"/>
  <c r="F53" i="26"/>
  <c r="E52" i="27"/>
  <c r="O24" i="27"/>
  <c r="I6" i="28"/>
  <c r="H23" i="25"/>
  <c r="E39" i="25"/>
  <c r="F38" i="23"/>
  <c r="O26" i="23" s="1"/>
  <c r="F40" i="27"/>
  <c r="F53" i="27" s="1"/>
  <c r="H14" i="25"/>
  <c r="F22" i="25"/>
  <c r="N27" i="24"/>
  <c r="C36" i="14"/>
  <c r="F36" i="14" s="1"/>
  <c r="F52" i="14" s="1"/>
  <c r="H52" i="14" s="1"/>
  <c r="B43" i="14"/>
  <c r="B47" i="14"/>
  <c r="C52" i="21"/>
  <c r="C43" i="21"/>
  <c r="C52" i="14"/>
  <c r="C43" i="14"/>
  <c r="F39" i="14"/>
  <c r="E35" i="14"/>
  <c r="C53" i="25"/>
  <c r="B58" i="25" s="1"/>
  <c r="H14" i="27"/>
  <c r="F22" i="27"/>
  <c r="M29" i="27"/>
  <c r="B28" i="26"/>
  <c r="N25" i="25"/>
  <c r="F39" i="26"/>
  <c r="E38" i="25"/>
  <c r="F40" i="25"/>
  <c r="F53" i="25" s="1"/>
  <c r="I3" i="28"/>
  <c r="G23" i="25"/>
  <c r="F42" i="23"/>
  <c r="E40" i="27"/>
  <c r="E38" i="26"/>
  <c r="E35" i="25"/>
  <c r="C24" i="24"/>
  <c r="G24" i="24" s="1"/>
  <c r="G11" i="24"/>
  <c r="G40" i="24" s="1"/>
  <c r="D11" i="24"/>
  <c r="D40" i="24" s="1"/>
  <c r="C40" i="24" s="1"/>
  <c r="C53" i="24" s="1"/>
  <c r="B58" i="24" s="1"/>
  <c r="O24" i="23"/>
  <c r="F6" i="28"/>
  <c r="H23" i="22"/>
  <c r="E42" i="26"/>
  <c r="E53" i="26" s="1"/>
  <c r="G24" i="25"/>
  <c r="B29" i="25"/>
  <c r="F38" i="27"/>
  <c r="F43" i="27" s="1"/>
  <c r="B57" i="27"/>
  <c r="E35" i="26"/>
  <c r="G7" i="23"/>
  <c r="G36" i="23" s="1"/>
  <c r="D7" i="23"/>
  <c r="D36" i="23" s="1"/>
  <c r="C36" i="23" s="1"/>
  <c r="C43" i="23" s="1"/>
  <c r="H7" i="23"/>
  <c r="H36" i="23" s="1"/>
  <c r="F36" i="23" s="1"/>
  <c r="F52" i="23" s="1"/>
  <c r="G14" i="23"/>
  <c r="E22" i="23"/>
  <c r="M29" i="23"/>
  <c r="C23" i="23"/>
  <c r="C14" i="22"/>
  <c r="H14" i="22" s="1"/>
  <c r="E41" i="22"/>
  <c r="F38" i="21"/>
  <c r="O26" i="21" s="1"/>
  <c r="G9" i="20"/>
  <c r="G38" i="20" s="1"/>
  <c r="H9" i="20"/>
  <c r="H38" i="20" s="1"/>
  <c r="D9" i="20"/>
  <c r="D38" i="20" s="1"/>
  <c r="C38" i="20" s="1"/>
  <c r="C52" i="20" s="1"/>
  <c r="B57" i="20" s="1"/>
  <c r="M23" i="20"/>
  <c r="N25" i="20" s="1"/>
  <c r="E35" i="21"/>
  <c r="H11" i="20"/>
  <c r="H40" i="20" s="1"/>
  <c r="E38" i="22"/>
  <c r="E42" i="22"/>
  <c r="F41" i="21"/>
  <c r="F53" i="21" s="1"/>
  <c r="H7" i="24"/>
  <c r="H36" i="24" s="1"/>
  <c r="F36" i="24" s="1"/>
  <c r="M23" i="24"/>
  <c r="E36" i="22"/>
  <c r="O25" i="22" s="1"/>
  <c r="F40" i="22"/>
  <c r="F53" i="22" s="1"/>
  <c r="C23" i="20"/>
  <c r="F39" i="20"/>
  <c r="B57" i="21"/>
  <c r="F22" i="20"/>
  <c r="F41" i="19"/>
  <c r="E42" i="18"/>
  <c r="H8" i="4"/>
  <c r="H36" i="4" s="1"/>
  <c r="D8" i="4"/>
  <c r="D36" i="4" s="1"/>
  <c r="C36" i="4" s="1"/>
  <c r="E36" i="4" s="1"/>
  <c r="G14" i="21"/>
  <c r="D6" i="19"/>
  <c r="D35" i="19" s="1"/>
  <c r="C35" i="19" s="1"/>
  <c r="C23" i="19"/>
  <c r="H23" i="19" s="1"/>
  <c r="G6" i="19"/>
  <c r="G35" i="19" s="1"/>
  <c r="E35" i="19" s="1"/>
  <c r="C14" i="19"/>
  <c r="H14" i="19" s="1"/>
  <c r="H6" i="19"/>
  <c r="H35" i="19" s="1"/>
  <c r="F35" i="19" s="1"/>
  <c r="B6" i="28"/>
  <c r="L6" i="28" s="1"/>
  <c r="H23" i="18"/>
  <c r="F35" i="21"/>
  <c r="C53" i="19"/>
  <c r="B58" i="19" s="1"/>
  <c r="B52" i="19"/>
  <c r="B46" i="19"/>
  <c r="D8" i="18"/>
  <c r="D37" i="18" s="1"/>
  <c r="C37" i="18" s="1"/>
  <c r="G8" i="18"/>
  <c r="G37" i="18" s="1"/>
  <c r="B28" i="18"/>
  <c r="E23" i="4"/>
  <c r="G23" i="4" s="1"/>
  <c r="E41" i="4"/>
  <c r="F41" i="4"/>
  <c r="H14" i="14"/>
  <c r="F37" i="14"/>
  <c r="C43" i="26"/>
  <c r="C52" i="26"/>
  <c r="B57" i="26" s="1"/>
  <c r="G14" i="26"/>
  <c r="E22" i="26"/>
  <c r="M29" i="26"/>
  <c r="E40" i="14"/>
  <c r="F52" i="27"/>
  <c r="F36" i="25"/>
  <c r="F43" i="25" s="1"/>
  <c r="C52" i="24"/>
  <c r="B57" i="24" s="1"/>
  <c r="M23" i="22"/>
  <c r="N25" i="22"/>
  <c r="E53" i="25"/>
  <c r="E42" i="27"/>
  <c r="F37" i="26"/>
  <c r="M29" i="24"/>
  <c r="G14" i="24"/>
  <c r="E22" i="24"/>
  <c r="M23" i="23"/>
  <c r="N26" i="23" s="1"/>
  <c r="N25" i="23"/>
  <c r="E35" i="24"/>
  <c r="E43" i="22"/>
  <c r="O24" i="22"/>
  <c r="F39" i="22"/>
  <c r="B27" i="21"/>
  <c r="E7" i="28"/>
  <c r="H24" i="21"/>
  <c r="M23" i="21"/>
  <c r="N23" i="21" s="1"/>
  <c r="E42" i="20"/>
  <c r="C7" i="28"/>
  <c r="H24" i="19"/>
  <c r="H11" i="24"/>
  <c r="H40" i="24" s="1"/>
  <c r="F40" i="24" s="1"/>
  <c r="F53" i="24" s="1"/>
  <c r="H12" i="20"/>
  <c r="H41" i="20" s="1"/>
  <c r="G12" i="20"/>
  <c r="G41" i="20" s="1"/>
  <c r="D12" i="20"/>
  <c r="D41" i="20" s="1"/>
  <c r="C41" i="20" s="1"/>
  <c r="M29" i="21"/>
  <c r="E41" i="24"/>
  <c r="D7" i="28"/>
  <c r="F39" i="21"/>
  <c r="E22" i="19"/>
  <c r="M29" i="19"/>
  <c r="N25" i="18"/>
  <c r="B4" i="28"/>
  <c r="L4" i="28" s="1"/>
  <c r="G24" i="18"/>
  <c r="F22" i="18"/>
  <c r="M23" i="19"/>
  <c r="N27" i="19" s="1"/>
  <c r="N24" i="19"/>
  <c r="B7" i="28"/>
  <c r="H24" i="18"/>
  <c r="L106" i="2"/>
  <c r="L117" i="2" s="1"/>
  <c r="L139" i="2"/>
  <c r="L150" i="2" s="1"/>
  <c r="H13" i="20"/>
  <c r="H42" i="20" s="1"/>
  <c r="F42" i="20" s="1"/>
  <c r="F53" i="19"/>
  <c r="H39" i="4"/>
  <c r="F39" i="4" s="1"/>
  <c r="E35" i="20"/>
  <c r="B51" i="19"/>
  <c r="N26" i="18"/>
  <c r="B48" i="18"/>
  <c r="B24" i="18"/>
  <c r="B29" i="18" s="1"/>
  <c r="C24" i="4"/>
  <c r="H24" i="4" s="1"/>
  <c r="D11" i="4"/>
  <c r="D39" i="4" s="1"/>
  <c r="C39" i="4" s="1"/>
  <c r="C52" i="4" s="1"/>
  <c r="B57" i="4" s="1"/>
  <c r="C14" i="20"/>
  <c r="H14" i="20" s="1"/>
  <c r="G40" i="4"/>
  <c r="E40" i="4" s="1"/>
  <c r="C23" i="4"/>
  <c r="B28" i="4" s="1"/>
  <c r="H8" i="18"/>
  <c r="H37" i="18" s="1"/>
  <c r="F37" i="18" s="1"/>
  <c r="E14" i="4"/>
  <c r="H12" i="18"/>
  <c r="H41" i="18" s="1"/>
  <c r="F41" i="18" s="1"/>
  <c r="F51" i="27" l="1"/>
  <c r="H43" i="27"/>
  <c r="E12" i="28"/>
  <c r="E20" i="28" s="1"/>
  <c r="G53" i="21"/>
  <c r="F51" i="22"/>
  <c r="F51" i="25"/>
  <c r="H43" i="25"/>
  <c r="E15" i="28"/>
  <c r="E23" i="28" s="1"/>
  <c r="H53" i="21"/>
  <c r="G14" i="28"/>
  <c r="G22" i="28" s="1"/>
  <c r="J12" i="28"/>
  <c r="J20" i="28" s="1"/>
  <c r="G53" i="26"/>
  <c r="C51" i="23"/>
  <c r="B56" i="23" s="1"/>
  <c r="D43" i="23"/>
  <c r="B53" i="18"/>
  <c r="B46" i="18"/>
  <c r="B51" i="18" s="1"/>
  <c r="C2" i="28"/>
  <c r="F43" i="21"/>
  <c r="F52" i="21"/>
  <c r="C15" i="28"/>
  <c r="C23" i="28" s="1"/>
  <c r="H53" i="19"/>
  <c r="G14" i="19"/>
  <c r="N24" i="21"/>
  <c r="L7" i="28"/>
  <c r="B5" i="28"/>
  <c r="C43" i="20"/>
  <c r="H2" i="28"/>
  <c r="N23" i="22"/>
  <c r="N26" i="22"/>
  <c r="N24" i="22"/>
  <c r="J2" i="28"/>
  <c r="G22" i="26"/>
  <c r="F36" i="4"/>
  <c r="N26" i="19"/>
  <c r="N23" i="24"/>
  <c r="N24" i="24"/>
  <c r="N26" i="24"/>
  <c r="O26" i="22"/>
  <c r="E38" i="20"/>
  <c r="G2" i="28"/>
  <c r="G22" i="23"/>
  <c r="E53" i="27"/>
  <c r="O27" i="27"/>
  <c r="I15" i="28"/>
  <c r="I23" i="28" s="1"/>
  <c r="H53" i="25"/>
  <c r="H53" i="26"/>
  <c r="J15" i="28"/>
  <c r="J23" i="28" s="1"/>
  <c r="E22" i="4"/>
  <c r="E52" i="20"/>
  <c r="O24" i="20"/>
  <c r="H14" i="18"/>
  <c r="F41" i="20"/>
  <c r="E52" i="22"/>
  <c r="O24" i="24"/>
  <c r="O27" i="25"/>
  <c r="C43" i="24"/>
  <c r="E37" i="18"/>
  <c r="F43" i="19"/>
  <c r="F52" i="19"/>
  <c r="C43" i="19"/>
  <c r="C52" i="19"/>
  <c r="B28" i="20"/>
  <c r="H23" i="20"/>
  <c r="F40" i="20"/>
  <c r="H23" i="23"/>
  <c r="B28" i="23"/>
  <c r="G23" i="23"/>
  <c r="E52" i="26"/>
  <c r="E43" i="26"/>
  <c r="O24" i="26"/>
  <c r="E40" i="24"/>
  <c r="O27" i="26"/>
  <c r="O26" i="25"/>
  <c r="B46" i="14"/>
  <c r="B52" i="14"/>
  <c r="B57" i="14" s="1"/>
  <c r="F52" i="25"/>
  <c r="B29" i="4"/>
  <c r="E41" i="18"/>
  <c r="E35" i="18"/>
  <c r="O25" i="19"/>
  <c r="F52" i="22"/>
  <c r="H5" i="28"/>
  <c r="H22" i="24"/>
  <c r="F40" i="18"/>
  <c r="F53" i="18" s="1"/>
  <c r="E53" i="19"/>
  <c r="O27" i="19"/>
  <c r="C5" i="28"/>
  <c r="B29" i="14"/>
  <c r="E36" i="18"/>
  <c r="N27" i="21"/>
  <c r="C52" i="23"/>
  <c r="B57" i="23" s="1"/>
  <c r="F40" i="23"/>
  <c r="F53" i="23" s="1"/>
  <c r="F43" i="26"/>
  <c r="F52" i="26"/>
  <c r="D14" i="24"/>
  <c r="C22" i="24"/>
  <c r="B27" i="24" s="1"/>
  <c r="D43" i="27"/>
  <c r="C51" i="27"/>
  <c r="B56" i="27" s="1"/>
  <c r="C22" i="14"/>
  <c r="B27" i="14" s="1"/>
  <c r="D14" i="14"/>
  <c r="D43" i="25"/>
  <c r="C51" i="25"/>
  <c r="B56" i="25" s="1"/>
  <c r="E51" i="22"/>
  <c r="O29" i="22"/>
  <c r="H22" i="14"/>
  <c r="K5" i="28"/>
  <c r="H22" i="27"/>
  <c r="B51" i="14"/>
  <c r="G52" i="27"/>
  <c r="K11" i="28"/>
  <c r="K19" i="28" s="1"/>
  <c r="C43" i="18"/>
  <c r="C52" i="18"/>
  <c r="B57" i="18" s="1"/>
  <c r="G24" i="20"/>
  <c r="B29" i="20"/>
  <c r="O27" i="21"/>
  <c r="E5" i="28"/>
  <c r="H22" i="21"/>
  <c r="I2" i="28"/>
  <c r="G22" i="25"/>
  <c r="N24" i="27"/>
  <c r="N26" i="27"/>
  <c r="N23" i="27"/>
  <c r="N27" i="27"/>
  <c r="B2" i="28"/>
  <c r="E53" i="18"/>
  <c r="O27" i="18"/>
  <c r="E53" i="22"/>
  <c r="O27" i="22"/>
  <c r="O23" i="22" s="1"/>
  <c r="G23" i="19"/>
  <c r="F2" i="28"/>
  <c r="N23" i="26"/>
  <c r="N25" i="26"/>
  <c r="N24" i="26"/>
  <c r="N27" i="26"/>
  <c r="C43" i="22"/>
  <c r="F53" i="14"/>
  <c r="H53" i="14" s="1"/>
  <c r="O26" i="27"/>
  <c r="B58" i="26"/>
  <c r="E41" i="14"/>
  <c r="E53" i="14" s="1"/>
  <c r="G53" i="14" s="1"/>
  <c r="C22" i="20"/>
  <c r="B27" i="20" s="1"/>
  <c r="D14" i="20"/>
  <c r="H15" i="28"/>
  <c r="H23" i="28" s="1"/>
  <c r="H53" i="24"/>
  <c r="C22" i="19"/>
  <c r="B27" i="19" s="1"/>
  <c r="D14" i="19"/>
  <c r="F15" i="28"/>
  <c r="F23" i="28" s="1"/>
  <c r="H53" i="22"/>
  <c r="N26" i="21"/>
  <c r="N25" i="21"/>
  <c r="N23" i="23"/>
  <c r="N24" i="23"/>
  <c r="N27" i="23"/>
  <c r="C51" i="26"/>
  <c r="B56" i="26" s="1"/>
  <c r="D43" i="26"/>
  <c r="G24" i="4"/>
  <c r="E43" i="19"/>
  <c r="E52" i="19"/>
  <c r="O24" i="19"/>
  <c r="E52" i="21"/>
  <c r="E43" i="21"/>
  <c r="O24" i="21"/>
  <c r="F38" i="20"/>
  <c r="F52" i="20" s="1"/>
  <c r="D14" i="22"/>
  <c r="C22" i="22"/>
  <c r="B27" i="22" s="1"/>
  <c r="N25" i="24"/>
  <c r="O26" i="26"/>
  <c r="D43" i="14"/>
  <c r="C51" i="14"/>
  <c r="D43" i="21"/>
  <c r="C51" i="21"/>
  <c r="B56" i="21" s="1"/>
  <c r="I5" i="28"/>
  <c r="H22" i="25"/>
  <c r="K15" i="28"/>
  <c r="K23" i="28" s="1"/>
  <c r="H53" i="27"/>
  <c r="E43" i="27"/>
  <c r="D10" i="4"/>
  <c r="D38" i="4" s="1"/>
  <c r="C38" i="4" s="1"/>
  <c r="E38" i="4" s="1"/>
  <c r="H10" i="4"/>
  <c r="H38" i="4" s="1"/>
  <c r="F35" i="18"/>
  <c r="B53" i="20"/>
  <c r="B58" i="20" s="1"/>
  <c r="B46" i="20"/>
  <c r="B51" i="20" s="1"/>
  <c r="C53" i="20"/>
  <c r="C53" i="18"/>
  <c r="G14" i="22"/>
  <c r="D2" i="28"/>
  <c r="G22" i="20"/>
  <c r="N27" i="22"/>
  <c r="E40" i="23"/>
  <c r="G22" i="27"/>
  <c r="B27" i="27"/>
  <c r="E36" i="24"/>
  <c r="O25" i="24" s="1"/>
  <c r="F41" i="14"/>
  <c r="F43" i="14" s="1"/>
  <c r="N26" i="26"/>
  <c r="E36" i="14"/>
  <c r="E52" i="14" s="1"/>
  <c r="G52" i="14" s="1"/>
  <c r="C14" i="4"/>
  <c r="I12" i="28"/>
  <c r="I20" i="28" s="1"/>
  <c r="G53" i="25"/>
  <c r="D5" i="28"/>
  <c r="H22" i="20"/>
  <c r="N25" i="19"/>
  <c r="N23" i="19"/>
  <c r="E41" i="20"/>
  <c r="E43" i="20" s="1"/>
  <c r="K14" i="28"/>
  <c r="K22" i="28" s="1"/>
  <c r="H52" i="27"/>
  <c r="B57" i="19"/>
  <c r="N23" i="20"/>
  <c r="N24" i="20"/>
  <c r="N26" i="20"/>
  <c r="E36" i="23"/>
  <c r="E52" i="25"/>
  <c r="E43" i="25"/>
  <c r="O24" i="25"/>
  <c r="D14" i="18"/>
  <c r="C22" i="18"/>
  <c r="B27" i="18" s="1"/>
  <c r="B28" i="19"/>
  <c r="E53" i="20"/>
  <c r="O27" i="20"/>
  <c r="F5" i="28"/>
  <c r="B29" i="24"/>
  <c r="F40" i="4"/>
  <c r="F52" i="4" s="1"/>
  <c r="H52" i="4" s="1"/>
  <c r="F39" i="18"/>
  <c r="O26" i="18" s="1"/>
  <c r="H23" i="4"/>
  <c r="B58" i="14"/>
  <c r="N27" i="20"/>
  <c r="G14" i="20"/>
  <c r="G24" i="23"/>
  <c r="B29" i="23"/>
  <c r="H24" i="24"/>
  <c r="F43" i="24"/>
  <c r="F52" i="24"/>
  <c r="O25" i="25"/>
  <c r="G24" i="14"/>
  <c r="H24" i="14"/>
  <c r="G5" i="28"/>
  <c r="H22" i="23"/>
  <c r="E39" i="4"/>
  <c r="E52" i="4" s="1"/>
  <c r="G52" i="4" s="1"/>
  <c r="F51" i="14" l="1"/>
  <c r="H51" i="14" s="1"/>
  <c r="H43" i="14"/>
  <c r="E42" i="4"/>
  <c r="E51" i="4"/>
  <c r="P23" i="22"/>
  <c r="P25" i="22"/>
  <c r="R25" i="22" s="1"/>
  <c r="P24" i="22"/>
  <c r="R24" i="22" s="1"/>
  <c r="D14" i="28"/>
  <c r="D22" i="28" s="1"/>
  <c r="H52" i="20"/>
  <c r="E51" i="20"/>
  <c r="G43" i="20"/>
  <c r="C22" i="4"/>
  <c r="D14" i="4"/>
  <c r="H14" i="4"/>
  <c r="F43" i="18"/>
  <c r="F52" i="18"/>
  <c r="D43" i="22"/>
  <c r="C51" i="22"/>
  <c r="B56" i="22" s="1"/>
  <c r="G22" i="18"/>
  <c r="G43" i="22"/>
  <c r="C42" i="4"/>
  <c r="F43" i="20"/>
  <c r="O29" i="20" s="1"/>
  <c r="F51" i="24"/>
  <c r="H43" i="24"/>
  <c r="P24" i="25"/>
  <c r="R24" i="25" s="1"/>
  <c r="O23" i="25"/>
  <c r="P23" i="25" s="1"/>
  <c r="G22" i="14"/>
  <c r="E53" i="23"/>
  <c r="O27" i="23"/>
  <c r="F38" i="4"/>
  <c r="P24" i="21"/>
  <c r="R24" i="21" s="1"/>
  <c r="O23" i="21"/>
  <c r="P24" i="19"/>
  <c r="R24" i="19" s="1"/>
  <c r="O23" i="19"/>
  <c r="G22" i="22"/>
  <c r="F12" i="28"/>
  <c r="F20" i="28" s="1"/>
  <c r="G53" i="22"/>
  <c r="L2" i="28"/>
  <c r="F10" i="28"/>
  <c r="F18" i="28" s="1"/>
  <c r="F26" i="28" s="1"/>
  <c r="J14" i="28"/>
  <c r="J22" i="28" s="1"/>
  <c r="H52" i="26"/>
  <c r="O25" i="18"/>
  <c r="P27" i="19"/>
  <c r="R27" i="19" s="1"/>
  <c r="I14" i="28"/>
  <c r="I22" i="28" s="1"/>
  <c r="H52" i="25"/>
  <c r="E43" i="14"/>
  <c r="J11" i="28"/>
  <c r="J19" i="28" s="1"/>
  <c r="G52" i="26"/>
  <c r="F53" i="20"/>
  <c r="C51" i="19"/>
  <c r="B56" i="19" s="1"/>
  <c r="D43" i="19"/>
  <c r="D43" i="24"/>
  <c r="C51" i="24"/>
  <c r="B56" i="24" s="1"/>
  <c r="E43" i="24"/>
  <c r="O23" i="20"/>
  <c r="G14" i="4"/>
  <c r="F43" i="23"/>
  <c r="B58" i="18"/>
  <c r="C51" i="4"/>
  <c r="B56" i="4" s="1"/>
  <c r="E51" i="25"/>
  <c r="G43" i="25"/>
  <c r="O29" i="25"/>
  <c r="C11" i="28"/>
  <c r="C19" i="28" s="1"/>
  <c r="G52" i="19"/>
  <c r="P27" i="21"/>
  <c r="R27" i="21" s="1"/>
  <c r="D43" i="18"/>
  <c r="C51" i="18"/>
  <c r="F51" i="26"/>
  <c r="H43" i="26"/>
  <c r="C12" i="28"/>
  <c r="C20" i="28" s="1"/>
  <c r="G53" i="19"/>
  <c r="F14" i="28"/>
  <c r="F22" i="28" s="1"/>
  <c r="H52" i="22"/>
  <c r="P26" i="25"/>
  <c r="R26" i="25" s="1"/>
  <c r="C14" i="28"/>
  <c r="C22" i="28" s="1"/>
  <c r="H52" i="19"/>
  <c r="P27" i="25"/>
  <c r="R27" i="25" s="1"/>
  <c r="F11" i="28"/>
  <c r="F19" i="28" s="1"/>
  <c r="G52" i="22"/>
  <c r="D11" i="28"/>
  <c r="D19" i="28" s="1"/>
  <c r="G52" i="20"/>
  <c r="D43" i="20"/>
  <c r="C51" i="20"/>
  <c r="B56" i="20" s="1"/>
  <c r="G22" i="19"/>
  <c r="H52" i="23"/>
  <c r="H43" i="22"/>
  <c r="E51" i="21"/>
  <c r="O29" i="21"/>
  <c r="G43" i="21"/>
  <c r="P25" i="25"/>
  <c r="R25" i="25" s="1"/>
  <c r="D12" i="28"/>
  <c r="D20" i="28" s="1"/>
  <c r="G53" i="20"/>
  <c r="I11" i="28"/>
  <c r="I19" i="28" s="1"/>
  <c r="G52" i="25"/>
  <c r="E51" i="27"/>
  <c r="O29" i="27"/>
  <c r="G43" i="27"/>
  <c r="E11" i="28"/>
  <c r="E19" i="28" s="1"/>
  <c r="G52" i="21"/>
  <c r="E51" i="19"/>
  <c r="G43" i="19"/>
  <c r="O29" i="19"/>
  <c r="B12" i="28"/>
  <c r="G53" i="18"/>
  <c r="B56" i="14"/>
  <c r="G15" i="28"/>
  <c r="G23" i="28" s="1"/>
  <c r="H53" i="23"/>
  <c r="H22" i="19"/>
  <c r="B15" i="28"/>
  <c r="H53" i="18"/>
  <c r="P25" i="19"/>
  <c r="R25" i="19" s="1"/>
  <c r="P27" i="26"/>
  <c r="R27" i="26" s="1"/>
  <c r="P24" i="26"/>
  <c r="R24" i="26" s="1"/>
  <c r="O23" i="26"/>
  <c r="F51" i="19"/>
  <c r="H43" i="19"/>
  <c r="O26" i="20"/>
  <c r="G22" i="24"/>
  <c r="H22" i="18"/>
  <c r="E14" i="28"/>
  <c r="E22" i="28" s="1"/>
  <c r="H52" i="21"/>
  <c r="I13" i="28"/>
  <c r="I21" i="28" s="1"/>
  <c r="I27" i="28" s="1"/>
  <c r="H51" i="25"/>
  <c r="F13" i="28"/>
  <c r="F21" i="28" s="1"/>
  <c r="F27" i="28" s="1"/>
  <c r="H51" i="22"/>
  <c r="K13" i="28"/>
  <c r="K21" i="28" s="1"/>
  <c r="K27" i="28" s="1"/>
  <c r="H51" i="27"/>
  <c r="H14" i="28"/>
  <c r="H22" i="28" s="1"/>
  <c r="H52" i="24"/>
  <c r="H22" i="22"/>
  <c r="O25" i="23"/>
  <c r="E43" i="23"/>
  <c r="E52" i="23"/>
  <c r="P27" i="22"/>
  <c r="R27" i="22" s="1"/>
  <c r="E52" i="18"/>
  <c r="E43" i="18"/>
  <c r="O24" i="18"/>
  <c r="O23" i="27"/>
  <c r="P26" i="27" s="1"/>
  <c r="R26" i="27" s="1"/>
  <c r="E53" i="24"/>
  <c r="O27" i="24"/>
  <c r="E51" i="26"/>
  <c r="G43" i="26"/>
  <c r="O29" i="26"/>
  <c r="E52" i="24"/>
  <c r="G22" i="4"/>
  <c r="K12" i="28"/>
  <c r="K20" i="28" s="1"/>
  <c r="G53" i="27"/>
  <c r="P26" i="22"/>
  <c r="R26" i="22" s="1"/>
  <c r="L5" i="28"/>
  <c r="F51" i="21"/>
  <c r="H43" i="21"/>
  <c r="B56" i="18"/>
  <c r="E13" i="28" l="1"/>
  <c r="E21" i="28" s="1"/>
  <c r="E27" i="28" s="1"/>
  <c r="H51" i="21"/>
  <c r="E51" i="18"/>
  <c r="G43" i="18"/>
  <c r="O29" i="18"/>
  <c r="E51" i="23"/>
  <c r="O29" i="23"/>
  <c r="G43" i="23"/>
  <c r="C13" i="28"/>
  <c r="C21" i="28" s="1"/>
  <c r="C27" i="28" s="1"/>
  <c r="H51" i="19"/>
  <c r="B20" i="28"/>
  <c r="E10" i="28"/>
  <c r="E18" i="28" s="1"/>
  <c r="E26" i="28" s="1"/>
  <c r="G51" i="21"/>
  <c r="E51" i="24"/>
  <c r="G43" i="24"/>
  <c r="O29" i="24"/>
  <c r="H12" i="28"/>
  <c r="H20" i="28" s="1"/>
  <c r="G53" i="24"/>
  <c r="B11" i="28"/>
  <c r="G52" i="18"/>
  <c r="P25" i="23"/>
  <c r="R25" i="23" s="1"/>
  <c r="O23" i="23"/>
  <c r="O23" i="24"/>
  <c r="P27" i="24" s="1"/>
  <c r="R27" i="24" s="1"/>
  <c r="P23" i="26"/>
  <c r="P25" i="26"/>
  <c r="R25" i="26" s="1"/>
  <c r="I10" i="28"/>
  <c r="I18" i="28" s="1"/>
  <c r="I26" i="28" s="1"/>
  <c r="G51" i="25"/>
  <c r="D15" i="28"/>
  <c r="D23" i="28" s="1"/>
  <c r="H53" i="20"/>
  <c r="P23" i="19"/>
  <c r="P26" i="19"/>
  <c r="R26" i="19" s="1"/>
  <c r="F51" i="4"/>
  <c r="H51" i="4" s="1"/>
  <c r="F42" i="4"/>
  <c r="H13" i="28"/>
  <c r="H21" i="28" s="1"/>
  <c r="H27" i="28" s="1"/>
  <c r="H51" i="24"/>
  <c r="B14" i="28"/>
  <c r="H52" i="18"/>
  <c r="B27" i="4"/>
  <c r="H22" i="4"/>
  <c r="E50" i="4"/>
  <c r="G42" i="4"/>
  <c r="P23" i="20"/>
  <c r="P25" i="20"/>
  <c r="R25" i="20" s="1"/>
  <c r="P27" i="23"/>
  <c r="R27" i="23" s="1"/>
  <c r="F51" i="20"/>
  <c r="H43" i="20"/>
  <c r="F51" i="18"/>
  <c r="H43" i="18"/>
  <c r="D10" i="28"/>
  <c r="D18" i="28" s="1"/>
  <c r="D26" i="28" s="1"/>
  <c r="G51" i="20"/>
  <c r="L15" i="28"/>
  <c r="L23" i="28" s="1"/>
  <c r="B23" i="28"/>
  <c r="J10" i="28"/>
  <c r="J18" i="28" s="1"/>
  <c r="J26" i="28" s="1"/>
  <c r="G51" i="26"/>
  <c r="O23" i="18"/>
  <c r="P24" i="18" s="1"/>
  <c r="R24" i="18" s="1"/>
  <c r="G11" i="28"/>
  <c r="G19" i="28" s="1"/>
  <c r="G52" i="23"/>
  <c r="P26" i="20"/>
  <c r="R26" i="20" s="1"/>
  <c r="C10" i="28"/>
  <c r="C18" i="28" s="1"/>
  <c r="C26" i="28" s="1"/>
  <c r="G51" i="19"/>
  <c r="J13" i="28"/>
  <c r="J21" i="28" s="1"/>
  <c r="J27" i="28" s="1"/>
  <c r="H51" i="26"/>
  <c r="P24" i="20"/>
  <c r="R24" i="20" s="1"/>
  <c r="G51" i="22"/>
  <c r="P23" i="21"/>
  <c r="P26" i="21"/>
  <c r="R26" i="21" s="1"/>
  <c r="P25" i="21"/>
  <c r="R25" i="21" s="1"/>
  <c r="G12" i="28"/>
  <c r="G20" i="28" s="1"/>
  <c r="G53" i="23"/>
  <c r="C50" i="4"/>
  <c r="B55" i="4" s="1"/>
  <c r="D42" i="4"/>
  <c r="P27" i="20"/>
  <c r="R27" i="20" s="1"/>
  <c r="P23" i="27"/>
  <c r="P25" i="27"/>
  <c r="R25" i="27" s="1"/>
  <c r="P24" i="27"/>
  <c r="R24" i="27" s="1"/>
  <c r="H11" i="28"/>
  <c r="H19" i="28" s="1"/>
  <c r="G52" i="24"/>
  <c r="P27" i="27"/>
  <c r="R27" i="27" s="1"/>
  <c r="K10" i="28"/>
  <c r="K18" i="28" s="1"/>
  <c r="K26" i="28" s="1"/>
  <c r="G51" i="27"/>
  <c r="F51" i="23"/>
  <c r="H43" i="23"/>
  <c r="E51" i="14"/>
  <c r="G51" i="14" s="1"/>
  <c r="G43" i="14"/>
  <c r="P26" i="26"/>
  <c r="R26" i="26" s="1"/>
  <c r="G51" i="4"/>
  <c r="P25" i="18" l="1"/>
  <c r="R25" i="18" s="1"/>
  <c r="G13" i="28"/>
  <c r="G21" i="28" s="1"/>
  <c r="G27" i="28" s="1"/>
  <c r="H51" i="23"/>
  <c r="P23" i="23"/>
  <c r="P26" i="23"/>
  <c r="R26" i="23" s="1"/>
  <c r="P24" i="23"/>
  <c r="R24" i="23" s="1"/>
  <c r="H18" i="28"/>
  <c r="H26" i="28" s="1"/>
  <c r="G51" i="24"/>
  <c r="L12" i="28"/>
  <c r="L20" i="28" s="1"/>
  <c r="B10" i="28"/>
  <c r="G51" i="18"/>
  <c r="F50" i="4"/>
  <c r="H50" i="4" s="1"/>
  <c r="H42" i="4"/>
  <c r="G10" i="28"/>
  <c r="G18" i="28" s="1"/>
  <c r="G26" i="28" s="1"/>
  <c r="G51" i="23"/>
  <c r="D13" i="28"/>
  <c r="D21" i="28" s="1"/>
  <c r="D27" i="28" s="1"/>
  <c r="H51" i="20"/>
  <c r="G50" i="4"/>
  <c r="L14" i="28"/>
  <c r="L22" i="28" s="1"/>
  <c r="B22" i="28"/>
  <c r="P23" i="18"/>
  <c r="P26" i="18"/>
  <c r="R26" i="18" s="1"/>
  <c r="P27" i="18"/>
  <c r="R27" i="18" s="1"/>
  <c r="B13" i="28"/>
  <c r="H51" i="18"/>
  <c r="P23" i="24"/>
  <c r="P26" i="24"/>
  <c r="R26" i="24" s="1"/>
  <c r="P24" i="24"/>
  <c r="R24" i="24" s="1"/>
  <c r="P25" i="24"/>
  <c r="R25" i="24" s="1"/>
  <c r="L11" i="28"/>
  <c r="L19" i="28" s="1"/>
  <c r="B19" i="28"/>
  <c r="L13" i="28" l="1"/>
  <c r="L21" i="28" s="1"/>
  <c r="L27" i="28" s="1"/>
  <c r="B21" i="28"/>
  <c r="B27" i="28" s="1"/>
  <c r="L10" i="28"/>
  <c r="L18" i="28" s="1"/>
  <c r="L26" i="28" s="1"/>
  <c r="B18" i="28"/>
  <c r="B26" i="28" s="1"/>
</calcChain>
</file>

<file path=xl/sharedStrings.xml><?xml version="1.0" encoding="utf-8"?>
<sst xmlns="http://schemas.openxmlformats.org/spreadsheetml/2006/main" count="1956" uniqueCount="103">
  <si>
    <t>Age Group</t>
  </si>
  <si>
    <t>Under 15</t>
  </si>
  <si>
    <t>15 to 24</t>
  </si>
  <si>
    <t>25 to 34</t>
  </si>
  <si>
    <t>35 to 44</t>
  </si>
  <si>
    <t>45 to 54</t>
  </si>
  <si>
    <t>55 to 64</t>
  </si>
  <si>
    <t>65 to 74</t>
  </si>
  <si>
    <t>75 to 84</t>
  </si>
  <si>
    <t>85 &amp; older</t>
  </si>
  <si>
    <t>Total</t>
  </si>
  <si>
    <t>Total Population</t>
  </si>
  <si>
    <t>Total Households by Age of Head</t>
  </si>
  <si>
    <t>Compute Headship Ratio</t>
  </si>
  <si>
    <t>Ownership Tenure</t>
  </si>
  <si>
    <t>Rental tenure</t>
  </si>
  <si>
    <t>%Own</t>
  </si>
  <si>
    <t>%Rent</t>
  </si>
  <si>
    <t>---</t>
  </si>
  <si>
    <t>Group Quarters Population</t>
  </si>
  <si>
    <t>Under Age 65</t>
  </si>
  <si>
    <t>65 &amp; Older</t>
  </si>
  <si>
    <t>Population in Households (Total less Group Quarters)</t>
  </si>
  <si>
    <t>Total Housholds</t>
  </si>
  <si>
    <t>Owner Households</t>
  </si>
  <si>
    <t>Renter Households</t>
  </si>
  <si>
    <t>Average Number of Persons per Household (excluding GQ Population)</t>
  </si>
  <si>
    <t>Resulting ratios held constant in forecast years</t>
  </si>
  <si>
    <t>Ratios that change with projection age distribution</t>
  </si>
  <si>
    <t>Headship model Test</t>
  </si>
  <si>
    <t>&lt;---Grows based on 25 to 64 cohort</t>
  </si>
  <si>
    <t>%%%%%%%%%%%%%%%%%%%%%%%%%%%%%%%%%%%%%%%%%%%%%%%%%%%%%%%</t>
  </si>
  <si>
    <t>&lt;---Grows based on 85 &amp; Older cohort</t>
  </si>
  <si>
    <t>2000 Population</t>
  </si>
  <si>
    <t>2010 Population</t>
  </si>
  <si>
    <t>2000 Owners</t>
  </si>
  <si>
    <t>2010 Owners</t>
  </si>
  <si>
    <t>2000 Renters</t>
  </si>
  <si>
    <t>2010 Renters</t>
  </si>
  <si>
    <t>2000 Group Quarters</t>
  </si>
  <si>
    <t>2010 Group Quarters</t>
  </si>
  <si>
    <t>Belknap County, New Hampshire</t>
  </si>
  <si>
    <t>Carroll County, New Hampshire</t>
  </si>
  <si>
    <t>Cheshire County, New Hampshire</t>
  </si>
  <si>
    <t>Coos County, New Hampshire</t>
  </si>
  <si>
    <t>Grafton County, New Hampshire</t>
  </si>
  <si>
    <t>Hillsborough County, New Hampshire</t>
  </si>
  <si>
    <t>Merrimack County, New Hampshire</t>
  </si>
  <si>
    <t>Rockingham County, New Hampshire</t>
  </si>
  <si>
    <t>Strafford County, New Hampshire</t>
  </si>
  <si>
    <t>Sullivan County, New Hampshire</t>
  </si>
  <si>
    <t>2000 Headship Ratio</t>
  </si>
  <si>
    <t>2010 Headship Ratio</t>
  </si>
  <si>
    <t>Change in Headship</t>
  </si>
  <si>
    <t>Change in Ownership</t>
  </si>
  <si>
    <t>2000 Ownership Percent</t>
  </si>
  <si>
    <t>2010 Ownership Percent</t>
  </si>
  <si>
    <t>Headship rates decreasing means more people per household</t>
  </si>
  <si>
    <t>Headship rates increasing means fewer people per household</t>
  </si>
  <si>
    <t>Average headship rate increases because of population shift?</t>
  </si>
  <si>
    <t>Home Ownership increases (on average)</t>
  </si>
  <si>
    <t>Home Ownership Falls</t>
  </si>
  <si>
    <t>Home Ownership increases</t>
  </si>
  <si>
    <t>From RPC April 2013</t>
  </si>
  <si>
    <t>Population Forecasts</t>
  </si>
  <si>
    <t>History 2010 Base Year</t>
  </si>
  <si>
    <t>State of New Hampshire</t>
  </si>
  <si>
    <t>Future 2025 Simulation</t>
  </si>
  <si>
    <t>Forecast uses 2000 to 2010 shift</t>
  </si>
  <si>
    <t xml:space="preserve"> Under 15</t>
  </si>
  <si>
    <t xml:space="preserve">85 &amp; older </t>
  </si>
  <si>
    <t xml:space="preserve"> Total</t>
  </si>
  <si>
    <t>Forecast Yr #</t>
  </si>
  <si>
    <t>County</t>
  </si>
  <si>
    <t>Future Simulation for year</t>
  </si>
  <si>
    <t>New Hampshire</t>
  </si>
  <si>
    <t>County:</t>
  </si>
  <si>
    <t>Total Households</t>
  </si>
  <si>
    <t>&lt;---------Inputs Here!</t>
  </si>
  <si>
    <t>County Number---------------&gt;</t>
  </si>
  <si>
    <t>%%%%%%%%%%%%%%%%%%%%%%%%%%%%%%%%%%%%%%%%%%%%%%%%%%%%%%%%%%%</t>
  </si>
  <si>
    <t>total</t>
  </si>
  <si>
    <t>Owner</t>
  </si>
  <si>
    <t>Renter</t>
  </si>
  <si>
    <t>Total NH</t>
  </si>
  <si>
    <t>Total Sum</t>
  </si>
  <si>
    <t>Households</t>
  </si>
  <si>
    <t>Percent</t>
  </si>
  <si>
    <t>Under 25 yrs</t>
  </si>
  <si>
    <t>25 to 44 yrs</t>
  </si>
  <si>
    <t>45 to 64 yrs</t>
  </si>
  <si>
    <t>65 yrs plus</t>
  </si>
  <si>
    <t xml:space="preserve">   Under Age 65</t>
  </si>
  <si>
    <t xml:space="preserve">   65 &amp; Older</t>
  </si>
  <si>
    <t>Change Forecast From 2010</t>
  </si>
  <si>
    <t xml:space="preserve">  Owner Housing</t>
  </si>
  <si>
    <t xml:space="preserve">  Renter Housing</t>
  </si>
  <si>
    <t>Increase per Year</t>
  </si>
  <si>
    <t>Please direct questions and comments on this data tool to: New Hampshire Center for Public Policy Studies, One Eagle Square, Suite 510, Concord, NH 03301                   (603) 226-2500, info@nhpolicy.org</t>
  </si>
  <si>
    <t>To use this tool, go to the 'Model' tab and change the values in cells B1 and D1 for the preferred county and forecast year.</t>
  </si>
  <si>
    <t>2013HeadshipModelCounty</t>
  </si>
  <si>
    <t>Keys</t>
  </si>
  <si>
    <t>Forecast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</si>
</sst>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%"/>
  </numFmts>
  <fonts count="10" x14ac:knownFonts="1">
    <font>
      <sz val="10"/>
      <name val="Arial"/>
    </font>
    <font>
      <sz val="8"/>
      <name val="Arial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u/>
      <sz val="10"/>
      <name val="Arial"/>
    </font>
    <font>
      <sz val="12"/>
      <name val="Arial"/>
      <family val="2"/>
    </font>
    <font>
      <sz val="14"/>
      <color indexed="8"/>
      <name val="Arial"/>
    </font>
    <font>
      <sz val="16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5" fontId="0" fillId="2" borderId="0" xfId="0" applyNumberFormat="1" applyFill="1"/>
    <xf numFmtId="165" fontId="0" fillId="3" borderId="0" xfId="0" applyNumberFormat="1" applyFill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right" wrapText="1"/>
    </xf>
    <xf numFmtId="164" fontId="0" fillId="2" borderId="1" xfId="0" applyNumberFormat="1" applyFill="1" applyBorder="1" applyAlignment="1">
      <alignment horizontal="right" wrapText="1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1" xfId="0" quotePrefix="1" applyBorder="1"/>
    <xf numFmtId="164" fontId="0" fillId="2" borderId="1" xfId="0" applyNumberFormat="1" applyFill="1" applyBorder="1"/>
    <xf numFmtId="165" fontId="0" fillId="2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3" fontId="0" fillId="0" borderId="1" xfId="0" applyNumberFormat="1" applyBorder="1" applyAlignment="1">
      <alignment horizontal="right" wrapText="1"/>
    </xf>
    <xf numFmtId="2" fontId="0" fillId="3" borderId="1" xfId="0" applyNumberFormat="1" applyFill="1" applyBorder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10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left"/>
    </xf>
    <xf numFmtId="0" fontId="5" fillId="5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0" fontId="5" fillId="5" borderId="10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Projected Change in Owner Households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2010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Summary!$A$11:$A$12</c:f>
              <c:strCache>
                <c:ptCount val="2"/>
                <c:pt idx="0">
                  <c:v>   Under Age 65</c:v>
                </c:pt>
                <c:pt idx="1">
                  <c:v>   65 &amp; Older</c:v>
                </c:pt>
              </c:strCache>
            </c:strRef>
          </c:cat>
          <c:val>
            <c:numRef>
              <c:f>Summary!$L$3:$L$4</c:f>
              <c:numCache>
                <c:formatCode>#,##0</c:formatCode>
                <c:ptCount val="2"/>
                <c:pt idx="0">
                  <c:v>282165</c:v>
                </c:pt>
                <c:pt idx="1">
                  <c:v>86151</c:v>
                </c:pt>
              </c:numCache>
            </c:numRef>
          </c:val>
        </c:ser>
        <c:ser>
          <c:idx val="1"/>
          <c:order val="1"/>
          <c:tx>
            <c:strRef>
              <c:f>Summary!$A$9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Summary!$A$11:$A$12</c:f>
              <c:strCache>
                <c:ptCount val="2"/>
                <c:pt idx="0">
                  <c:v>   Under Age 65</c:v>
                </c:pt>
                <c:pt idx="1">
                  <c:v>   65 &amp; Older</c:v>
                </c:pt>
              </c:strCache>
            </c:strRef>
          </c:cat>
          <c:val>
            <c:numRef>
              <c:f>Summary!$L$11:$L$12</c:f>
              <c:numCache>
                <c:formatCode>#,##0</c:formatCode>
                <c:ptCount val="2"/>
                <c:pt idx="0">
                  <c:v>266389.3265975726</c:v>
                </c:pt>
                <c:pt idx="1">
                  <c:v>157485.16352697916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61280"/>
        <c:axId val="164562816"/>
      </c:barChart>
      <c:catAx>
        <c:axId val="1645612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4562816"/>
        <c:crosses val="autoZero"/>
        <c:auto val="1"/>
        <c:lblAlgn val="ctr"/>
        <c:lblOffset val="100"/>
        <c:noMultiLvlLbl val="0"/>
      </c:catAx>
      <c:valAx>
        <c:axId val="164562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45612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Projected Change in Renter Households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2010</c:v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Summary!$A$6:$A$7</c:f>
              <c:strCache>
                <c:ptCount val="2"/>
                <c:pt idx="0">
                  <c:v>   Under Age 65</c:v>
                </c:pt>
                <c:pt idx="1">
                  <c:v>   65 &amp; Older</c:v>
                </c:pt>
              </c:strCache>
            </c:strRef>
          </c:cat>
          <c:val>
            <c:numRef>
              <c:f>Summary!$L$6:$L$7</c:f>
              <c:numCache>
                <c:formatCode>#,##0</c:formatCode>
                <c:ptCount val="2"/>
                <c:pt idx="0">
                  <c:v>124598</c:v>
                </c:pt>
                <c:pt idx="1">
                  <c:v>26059</c:v>
                </c:pt>
              </c:numCache>
            </c:numRef>
          </c:val>
        </c:ser>
        <c:ser>
          <c:idx val="1"/>
          <c:order val="1"/>
          <c:tx>
            <c:strRef>
              <c:f>Summary!$A$9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Summary!$A$6:$A$7</c:f>
              <c:strCache>
                <c:ptCount val="2"/>
                <c:pt idx="0">
                  <c:v>   Under Age 65</c:v>
                </c:pt>
                <c:pt idx="1">
                  <c:v>   65 &amp; Older</c:v>
                </c:pt>
              </c:strCache>
            </c:strRef>
          </c:cat>
          <c:val>
            <c:numRef>
              <c:f>Summary!$L$14:$L$15</c:f>
              <c:numCache>
                <c:formatCode>#,##0</c:formatCode>
                <c:ptCount val="2"/>
                <c:pt idx="0">
                  <c:v>120613.13465520965</c:v>
                </c:pt>
                <c:pt idx="1">
                  <c:v>45948.732889392828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374080"/>
        <c:axId val="233376000"/>
      </c:barChart>
      <c:catAx>
        <c:axId val="2333740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33376000"/>
        <c:crosses val="autoZero"/>
        <c:auto val="1"/>
        <c:lblAlgn val="ctr"/>
        <c:lblOffset val="100"/>
        <c:noMultiLvlLbl val="0"/>
      </c:catAx>
      <c:valAx>
        <c:axId val="2333760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333740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b="1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Population by Age Group</a:t>
            </a:r>
          </a:p>
        </c:rich>
      </c:tx>
      <c:layout>
        <c:manualLayout>
          <c:xMode val="edge"/>
          <c:yMode val="edge"/>
          <c:x val="0.36847946725860153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4192495921696574"/>
          <c:w val="0.91786903440621537"/>
          <c:h val="0.78466557911908641"/>
        </c:manualLayout>
      </c:layout>
      <c:lineChart>
        <c:grouping val="standard"/>
        <c:varyColors val="0"/>
        <c:ser>
          <c:idx val="0"/>
          <c:order val="0"/>
          <c:tx>
            <c:strRef>
              <c:f>Model!$A$3</c:f>
              <c:strCache>
                <c:ptCount val="1"/>
                <c:pt idx="0">
                  <c:v>History 2010 Base Year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Model!$A$6:$A$13</c:f>
              <c:strCache>
                <c:ptCount val="8"/>
                <c:pt idx="0">
                  <c:v>15 to 24</c:v>
                </c:pt>
                <c:pt idx="1">
                  <c:v>25 to 34</c:v>
                </c:pt>
                <c:pt idx="2">
                  <c:v>35 to 44</c:v>
                </c:pt>
                <c:pt idx="3">
                  <c:v>45 to 54</c:v>
                </c:pt>
                <c:pt idx="4">
                  <c:v>55 to 64</c:v>
                </c:pt>
                <c:pt idx="5">
                  <c:v>65 to 74</c:v>
                </c:pt>
                <c:pt idx="6">
                  <c:v>75 to 84</c:v>
                </c:pt>
                <c:pt idx="7">
                  <c:v>85 &amp; older</c:v>
                </c:pt>
              </c:strCache>
            </c:strRef>
          </c:cat>
          <c:val>
            <c:numRef>
              <c:f>Model!$B$6:$B$13</c:f>
              <c:numCache>
                <c:formatCode>#,##0</c:formatCode>
                <c:ptCount val="8"/>
                <c:pt idx="0">
                  <c:v>6457</c:v>
                </c:pt>
                <c:pt idx="1">
                  <c:v>6189</c:v>
                </c:pt>
                <c:pt idx="2">
                  <c:v>7663</c:v>
                </c:pt>
                <c:pt idx="3">
                  <c:v>10149</c:v>
                </c:pt>
                <c:pt idx="4">
                  <c:v>9542</c:v>
                </c:pt>
                <c:pt idx="5">
                  <c:v>5457</c:v>
                </c:pt>
                <c:pt idx="6">
                  <c:v>3156</c:v>
                </c:pt>
                <c:pt idx="7">
                  <c:v>1444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Model!$B$32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2.8232497574873078E-2"/>
                  <c:y val="2.6824232615295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Model!$B$35:$B$42</c:f>
              <c:numCache>
                <c:formatCode>#,##0</c:formatCode>
                <c:ptCount val="8"/>
                <c:pt idx="0">
                  <c:v>5780</c:v>
                </c:pt>
                <c:pt idx="1">
                  <c:v>6096</c:v>
                </c:pt>
                <c:pt idx="2">
                  <c:v>7879</c:v>
                </c:pt>
                <c:pt idx="3">
                  <c:v>7488</c:v>
                </c:pt>
                <c:pt idx="4">
                  <c:v>9946</c:v>
                </c:pt>
                <c:pt idx="5">
                  <c:v>9982</c:v>
                </c:pt>
                <c:pt idx="6">
                  <c:v>5586</c:v>
                </c:pt>
                <c:pt idx="7">
                  <c:v>1878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32134912"/>
        <c:axId val="232140800"/>
      </c:lineChart>
      <c:catAx>
        <c:axId val="2321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140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140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134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479467258601556"/>
          <c:y val="5.2202283849918436E-2"/>
          <c:w val="0.27635960044395119"/>
          <c:h val="8.97226753670473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Population by Age Group</a:t>
            </a:r>
          </a:p>
        </c:rich>
      </c:tx>
      <c:layout>
        <c:manualLayout>
          <c:xMode val="edge"/>
          <c:yMode val="edge"/>
          <c:x val="0.36847946725860153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0.13376835236541598"/>
          <c:w val="0.91786903440621537"/>
          <c:h val="0.79282218597063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Model!$A$3</c:f>
              <c:strCache>
                <c:ptCount val="1"/>
                <c:pt idx="0">
                  <c:v>History 2010 Base Year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Model!$A$5:$A$13</c:f>
              <c:strCache>
                <c:ptCount val="9"/>
                <c:pt idx="0">
                  <c:v> Under 15</c:v>
                </c:pt>
                <c:pt idx="1">
                  <c:v>15 to 24</c:v>
                </c:pt>
                <c:pt idx="2">
                  <c:v>25 to 34</c:v>
                </c:pt>
                <c:pt idx="3">
                  <c:v>35 to 44</c:v>
                </c:pt>
                <c:pt idx="4">
                  <c:v>45 to 54</c:v>
                </c:pt>
                <c:pt idx="5">
                  <c:v>55 to 64</c:v>
                </c:pt>
                <c:pt idx="6">
                  <c:v>65 to 74</c:v>
                </c:pt>
                <c:pt idx="7">
                  <c:v>75 to 84</c:v>
                </c:pt>
                <c:pt idx="8">
                  <c:v>85 &amp; older</c:v>
                </c:pt>
              </c:strCache>
            </c:strRef>
          </c:cat>
          <c:val>
            <c:numRef>
              <c:f>Model!$B$5:$B$13</c:f>
              <c:numCache>
                <c:formatCode>#,##0</c:formatCode>
                <c:ptCount val="9"/>
                <c:pt idx="0">
                  <c:v>10031</c:v>
                </c:pt>
                <c:pt idx="1">
                  <c:v>6457</c:v>
                </c:pt>
                <c:pt idx="2">
                  <c:v>6189</c:v>
                </c:pt>
                <c:pt idx="3">
                  <c:v>7663</c:v>
                </c:pt>
                <c:pt idx="4">
                  <c:v>10149</c:v>
                </c:pt>
                <c:pt idx="5">
                  <c:v>9542</c:v>
                </c:pt>
                <c:pt idx="6">
                  <c:v>5457</c:v>
                </c:pt>
                <c:pt idx="7">
                  <c:v>3156</c:v>
                </c:pt>
                <c:pt idx="8">
                  <c:v>1444</c:v>
                </c:pt>
              </c:numCache>
            </c:numRef>
          </c:val>
        </c:ser>
        <c:ser>
          <c:idx val="1"/>
          <c:order val="1"/>
          <c:tx>
            <c:strRef>
              <c:f>Model!$B$32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Model!$B$34:$B$42</c:f>
              <c:numCache>
                <c:formatCode>#,##0</c:formatCode>
                <c:ptCount val="9"/>
                <c:pt idx="0">
                  <c:v>9825</c:v>
                </c:pt>
                <c:pt idx="1">
                  <c:v>5780</c:v>
                </c:pt>
                <c:pt idx="2">
                  <c:v>6096</c:v>
                </c:pt>
                <c:pt idx="3">
                  <c:v>7879</c:v>
                </c:pt>
                <c:pt idx="4">
                  <c:v>7488</c:v>
                </c:pt>
                <c:pt idx="5">
                  <c:v>9946</c:v>
                </c:pt>
                <c:pt idx="6">
                  <c:v>9982</c:v>
                </c:pt>
                <c:pt idx="7">
                  <c:v>5586</c:v>
                </c:pt>
                <c:pt idx="8">
                  <c:v>1878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56064"/>
        <c:axId val="229657600"/>
      </c:barChart>
      <c:catAx>
        <c:axId val="22965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65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65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656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478357380688127"/>
          <c:y val="4.8939641109298535E-2"/>
          <c:w val="0.2541620421753607"/>
          <c:h val="8.97226753670473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Owner Households</a:t>
            </a:r>
          </a:p>
        </c:rich>
      </c:tx>
      <c:layout>
        <c:manualLayout>
          <c:xMode val="edge"/>
          <c:yMode val="edge"/>
          <c:x val="0.39844617092119866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54827968923418"/>
          <c:y val="0.14681892332789559"/>
          <c:w val="0.88901220865704778"/>
          <c:h val="0.75367047308319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Model!$A$3</c:f>
              <c:strCache>
                <c:ptCount val="1"/>
                <c:pt idx="0">
                  <c:v>History 2010 Base Year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Model!$A$23:$A$24</c:f>
              <c:strCache>
                <c:ptCount val="2"/>
                <c:pt idx="0">
                  <c:v>Under Age 65</c:v>
                </c:pt>
                <c:pt idx="1">
                  <c:v>65 &amp; Older</c:v>
                </c:pt>
              </c:strCache>
            </c:strRef>
          </c:cat>
          <c:val>
            <c:numRef>
              <c:f>Model!$E$23:$E$24</c:f>
              <c:numCache>
                <c:formatCode>#,##0</c:formatCode>
                <c:ptCount val="2"/>
                <c:pt idx="0">
                  <c:v>13526</c:v>
                </c:pt>
                <c:pt idx="1">
                  <c:v>4997</c:v>
                </c:pt>
              </c:numCache>
            </c:numRef>
          </c:val>
        </c:ser>
        <c:ser>
          <c:idx val="1"/>
          <c:order val="1"/>
          <c:tx>
            <c:strRef>
              <c:f>Model!$B$32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Model!$E$52:$E$53</c:f>
              <c:numCache>
                <c:formatCode>#,##0</c:formatCode>
                <c:ptCount val="2"/>
                <c:pt idx="0">
                  <c:v>12600.184968122514</c:v>
                </c:pt>
                <c:pt idx="1">
                  <c:v>8786.8385690249252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7606272"/>
        <c:axId val="396480896"/>
      </c:barChart>
      <c:catAx>
        <c:axId val="24760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648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64808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7606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038845726970029"/>
          <c:y val="0.15334420880913541"/>
          <c:w val="0.28634850166481685"/>
          <c:h val="9.951060358890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Renter Households</a:t>
            </a:r>
          </a:p>
        </c:rich>
      </c:tx>
      <c:layout>
        <c:manualLayout>
          <c:xMode val="edge"/>
          <c:yMode val="edge"/>
          <c:x val="0.39733629300776913"/>
          <c:y val="1.95758564437194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229744728079905E-2"/>
          <c:y val="0.14681892332789559"/>
          <c:w val="0.90233074361820198"/>
          <c:h val="0.753670473083197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Model!$A$3</c:f>
              <c:strCache>
                <c:ptCount val="1"/>
                <c:pt idx="0">
                  <c:v>History 2010 Base Year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Model!$A$23:$A$24</c:f>
              <c:strCache>
                <c:ptCount val="2"/>
                <c:pt idx="0">
                  <c:v>Under Age 65</c:v>
                </c:pt>
                <c:pt idx="1">
                  <c:v>65 &amp; Older</c:v>
                </c:pt>
              </c:strCache>
            </c:strRef>
          </c:cat>
          <c:val>
            <c:numRef>
              <c:f>Model!$F$23:$F$24</c:f>
              <c:numCache>
                <c:formatCode>#,##0</c:formatCode>
                <c:ptCount val="2"/>
                <c:pt idx="0">
                  <c:v>5048</c:v>
                </c:pt>
                <c:pt idx="1">
                  <c:v>1195</c:v>
                </c:pt>
              </c:numCache>
            </c:numRef>
          </c:val>
        </c:ser>
        <c:ser>
          <c:idx val="1"/>
          <c:order val="1"/>
          <c:tx>
            <c:strRef>
              <c:f>Model!$B$32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Model!$F$52:$F$53</c:f>
              <c:numCache>
                <c:formatCode>#,##0</c:formatCode>
                <c:ptCount val="2"/>
                <c:pt idx="0">
                  <c:v>4724.899607786966</c:v>
                </c:pt>
                <c:pt idx="1">
                  <c:v>2009.9994283724347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2162048"/>
        <c:axId val="232163584"/>
      </c:barChart>
      <c:catAx>
        <c:axId val="2321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16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2163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21620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70588235294118"/>
          <c:y val="0.15334420880913541"/>
          <c:w val="0.28634850166481685"/>
          <c:h val="9.95106035889070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157161</xdr:colOff>
      <xdr:row>28</xdr:row>
      <xdr:rowOff>114300</xdr:rowOff>
    </xdr:from>
    <xdr:to>
      <xdr:col>6</xdr:col>
      <xdr:colOff>352425</xdr:colOff>
      <xdr:row>50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695325</xdr:colOff>
      <xdr:row>28</xdr:row>
      <xdr:rowOff>114300</xdr:rowOff>
    </xdr:from>
    <xdr:to>
      <xdr:col>14</xdr:col>
      <xdr:colOff>261939</xdr:colOff>
      <xdr:row>50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0.272</cdr:x>
      <cdr:y>0.091</cdr:y>
    </cdr:from>
    <cdr:to>
      <cdr:x>0.68125</cdr:x>
      <cdr:y>0.13375</cdr:y>
    </cdr:to>
    <cdr:sp macro="" textlink="Model!$D$3">
      <cdr:nvSpPr>
        <cdr:cNvPr id="18436" name="Text Box 4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34311" y="531333"/>
          <a:ext cx="3512194" cy="249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D2587C1E-B646-45E9-93EE-6FFB0727E764}" type="TxLink"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Belknap County, New Hampshire</a:t>
          </a:fld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0.0855</cdr:x>
      <cdr:y>0.86925</cdr:y>
    </cdr:from>
    <cdr:to>
      <cdr:x>0.31425</cdr:x>
      <cdr:y>0.915</cdr:y>
    </cdr:to>
    <cdr:sp macro="" textlink="">
      <cdr:nvSpPr>
        <cdr:cNvPr id="1843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3763" y="5075399"/>
          <a:ext cx="1963138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First Time Home Buyers</a:t>
          </a:r>
        </a:p>
      </cdr:txBody>
    </cdr:sp>
  </cdr:relSizeAnchor>
  <cdr:relSizeAnchor xmlns:cdr="http://schemas.openxmlformats.org/drawingml/2006/chartDrawing">
    <cdr:from>
      <cdr:x>0.707</cdr:x>
      <cdr:y>0.86925</cdr:y>
    </cdr:from>
    <cdr:to>
      <cdr:x>0.77475</cdr:x>
      <cdr:y>0.915</cdr:y>
    </cdr:to>
    <cdr:sp macro="" textlink="">
      <cdr:nvSpPr>
        <cdr:cNvPr id="184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7492" y="5075399"/>
          <a:ext cx="581432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Elders</a:t>
          </a:r>
        </a:p>
      </cdr:txBody>
    </cdr:sp>
  </cdr:relSizeAnchor>
  <cdr:relSizeAnchor xmlns:cdr="http://schemas.openxmlformats.org/drawingml/2006/chartDrawing">
    <cdr:from>
      <cdr:x>0.3195</cdr:x>
      <cdr:y>0.14325</cdr:y>
    </cdr:from>
    <cdr:to>
      <cdr:x>0.32225</cdr:x>
      <cdr:y>0.92325</cdr:y>
    </cdr:to>
    <cdr:sp macro="" textlink="">
      <cdr:nvSpPr>
        <cdr:cNvPr id="1843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41957" y="836412"/>
          <a:ext cx="23601" cy="455428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0.68125</cdr:x>
      <cdr:y>0.14325</cdr:y>
    </cdr:from>
    <cdr:to>
      <cdr:x>0.684</cdr:x>
      <cdr:y>0.92425</cdr:y>
    </cdr:to>
    <cdr:sp macro="" textlink="">
      <cdr:nvSpPr>
        <cdr:cNvPr id="18440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846505" y="836412"/>
          <a:ext cx="23600" cy="456012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0.43625</cdr:x>
      <cdr:y>0.8605</cdr:y>
    </cdr:from>
    <cdr:to>
      <cdr:x>0.5205</cdr:x>
      <cdr:y>0.90625</cdr:y>
    </cdr:to>
    <cdr:sp macro="" textlink="">
      <cdr:nvSpPr>
        <cdr:cNvPr id="18441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3908" y="5024309"/>
          <a:ext cx="723036" cy="26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90139" cy="58384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0.272</cdr:x>
      <cdr:y>0.08575</cdr:y>
    </cdr:from>
    <cdr:to>
      <cdr:x>0.68125</cdr:x>
      <cdr:y>0.12625</cdr:y>
    </cdr:to>
    <cdr:sp macro="" textlink="Model!$D$3">
      <cdr:nvSpPr>
        <cdr:cNvPr id="1026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334311" y="500679"/>
          <a:ext cx="3512194" cy="23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8584AD3-C6F6-42E7-9DCC-D60B00D24964}" type="TxLink"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Belknap County, New Hampshire</a:t>
          </a:fld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90139" cy="58384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0.31275</cdr:x>
      <cdr:y>0.08475</cdr:y>
    </cdr:from>
    <cdr:to>
      <cdr:x>0.6835</cdr:x>
      <cdr:y>0.1255</cdr:y>
    </cdr:to>
    <cdr:sp macro="" textlink="Model!$D$3">
      <cdr:nvSpPr>
        <cdr:cNvPr id="6145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4028" y="494840"/>
          <a:ext cx="3181786" cy="237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C26EE627-E183-458D-BC48-70875046C45A}" type="TxLink"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Belknap County, New Hampshire</a:t>
          </a:fld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90139" cy="58384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0.3025</cdr:x>
      <cdr:y>0.08475</cdr:y>
    </cdr:from>
    <cdr:to>
      <cdr:x>0.67875</cdr:x>
      <cdr:y>0.1255</cdr:y>
    </cdr:to>
    <cdr:sp macro="" textlink="Model!$D$3">
      <cdr:nvSpPr>
        <cdr:cNvPr id="3073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596063" y="494840"/>
          <a:ext cx="3228986" cy="2379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D71D932-B775-4827-993A-F1F845652884}" type="TxLink"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Belknap County, New Hampshire</a:t>
          </a:fld>
          <a:endParaRPr lang="en-US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sqref="A1:G31"/>
    </sheetView>
  </sheetViews>
  <sheetFormatPr defaultRowHeight="12.75" x14ac:dyDescent="0.2"/>
  <cols>
    <col min="5" max="5" width="3.28515625" customWidth="1"/>
    <col min="6" max="6" width="5.28515625" bestFit="1" customWidth="1"/>
  </cols>
  <sheetData>
    <row r="1" spans="1:7" ht="15.75" x14ac:dyDescent="0.25">
      <c r="A1" s="23" t="s">
        <v>100</v>
      </c>
      <c r="F1" s="3" t="s">
        <v>101</v>
      </c>
      <c r="G1" s="3" t="s">
        <v>73</v>
      </c>
    </row>
    <row r="2" spans="1:7" x14ac:dyDescent="0.2">
      <c r="F2">
        <v>1</v>
      </c>
      <c r="G2" t="s">
        <v>41</v>
      </c>
    </row>
    <row r="3" spans="1:7" x14ac:dyDescent="0.2">
      <c r="A3" s="29" t="s">
        <v>99</v>
      </c>
      <c r="B3" s="30"/>
      <c r="C3" s="30"/>
      <c r="D3" s="31"/>
      <c r="F3">
        <v>2</v>
      </c>
      <c r="G3" t="s">
        <v>42</v>
      </c>
    </row>
    <row r="4" spans="1:7" x14ac:dyDescent="0.2">
      <c r="A4" s="32"/>
      <c r="B4" s="33"/>
      <c r="C4" s="33"/>
      <c r="D4" s="34"/>
      <c r="F4">
        <v>3</v>
      </c>
      <c r="G4" t="s">
        <v>43</v>
      </c>
    </row>
    <row r="5" spans="1:7" x14ac:dyDescent="0.2">
      <c r="A5" s="32"/>
      <c r="B5" s="33"/>
      <c r="C5" s="33"/>
      <c r="D5" s="34"/>
      <c r="F5">
        <v>4</v>
      </c>
      <c r="G5" t="s">
        <v>44</v>
      </c>
    </row>
    <row r="6" spans="1:7" x14ac:dyDescent="0.2">
      <c r="A6" s="32"/>
      <c r="B6" s="33"/>
      <c r="C6" s="33"/>
      <c r="D6" s="34"/>
      <c r="F6">
        <v>5</v>
      </c>
      <c r="G6" t="s">
        <v>45</v>
      </c>
    </row>
    <row r="7" spans="1:7" x14ac:dyDescent="0.2">
      <c r="A7" s="32"/>
      <c r="B7" s="33"/>
      <c r="C7" s="33"/>
      <c r="D7" s="34"/>
      <c r="F7">
        <v>6</v>
      </c>
      <c r="G7" t="s">
        <v>46</v>
      </c>
    </row>
    <row r="8" spans="1:7" x14ac:dyDescent="0.2">
      <c r="A8" s="35"/>
      <c r="B8" s="36"/>
      <c r="C8" s="36"/>
      <c r="D8" s="37"/>
      <c r="F8">
        <v>7</v>
      </c>
      <c r="G8" t="s">
        <v>47</v>
      </c>
    </row>
    <row r="9" spans="1:7" ht="15" x14ac:dyDescent="0.2">
      <c r="A9" s="38"/>
      <c r="B9" s="38"/>
      <c r="C9" s="38"/>
      <c r="D9" s="38"/>
      <c r="F9">
        <v>8</v>
      </c>
      <c r="G9" t="s">
        <v>48</v>
      </c>
    </row>
    <row r="10" spans="1:7" x14ac:dyDescent="0.2">
      <c r="F10">
        <v>9</v>
      </c>
      <c r="G10" t="s">
        <v>49</v>
      </c>
    </row>
    <row r="11" spans="1:7" x14ac:dyDescent="0.2">
      <c r="F11">
        <v>10</v>
      </c>
      <c r="G11" t="s">
        <v>50</v>
      </c>
    </row>
    <row r="12" spans="1:7" x14ac:dyDescent="0.2">
      <c r="F12">
        <v>11</v>
      </c>
      <c r="G12" t="s">
        <v>75</v>
      </c>
    </row>
    <row r="14" spans="1:7" x14ac:dyDescent="0.2">
      <c r="F14" s="3" t="s">
        <v>101</v>
      </c>
      <c r="G14" s="3" t="s">
        <v>102</v>
      </c>
    </row>
    <row r="15" spans="1:7" x14ac:dyDescent="0.2">
      <c r="F15">
        <v>1</v>
      </c>
      <c r="G15">
        <v>2015</v>
      </c>
    </row>
    <row r="16" spans="1:7" x14ac:dyDescent="0.2">
      <c r="F16">
        <v>2</v>
      </c>
      <c r="G16">
        <v>2020</v>
      </c>
    </row>
    <row r="17" spans="1:7" x14ac:dyDescent="0.2">
      <c r="F17">
        <v>3</v>
      </c>
      <c r="G17">
        <v>2025</v>
      </c>
    </row>
    <row r="18" spans="1:7" x14ac:dyDescent="0.2">
      <c r="F18">
        <v>4</v>
      </c>
      <c r="G18">
        <v>2030</v>
      </c>
    </row>
    <row r="19" spans="1:7" x14ac:dyDescent="0.2">
      <c r="F19">
        <v>5</v>
      </c>
      <c r="G19">
        <v>2035</v>
      </c>
    </row>
    <row r="20" spans="1:7" x14ac:dyDescent="0.2">
      <c r="F20">
        <v>6</v>
      </c>
      <c r="G20">
        <v>2040</v>
      </c>
    </row>
    <row r="21" spans="1:7" x14ac:dyDescent="0.2">
      <c r="A21" s="39" t="s">
        <v>98</v>
      </c>
      <c r="B21" s="39"/>
      <c r="C21" s="39"/>
      <c r="D21" s="39"/>
    </row>
    <row r="22" spans="1:7" x14ac:dyDescent="0.2">
      <c r="A22" s="39"/>
      <c r="B22" s="39"/>
      <c r="C22" s="39"/>
      <c r="D22" s="39"/>
    </row>
    <row r="23" spans="1:7" x14ac:dyDescent="0.2">
      <c r="A23" s="39"/>
      <c r="B23" s="39"/>
      <c r="C23" s="39"/>
      <c r="D23" s="39"/>
    </row>
    <row r="24" spans="1:7" x14ac:dyDescent="0.2">
      <c r="A24" s="39"/>
      <c r="B24" s="39"/>
      <c r="C24" s="39"/>
      <c r="D24" s="39"/>
    </row>
    <row r="25" spans="1:7" x14ac:dyDescent="0.2">
      <c r="A25" s="39"/>
      <c r="B25" s="39"/>
      <c r="C25" s="39"/>
      <c r="D25" s="39"/>
    </row>
    <row r="26" spans="1:7" x14ac:dyDescent="0.2">
      <c r="A26" s="39"/>
      <c r="B26" s="39"/>
      <c r="C26" s="39"/>
      <c r="D26" s="39"/>
    </row>
    <row r="27" spans="1:7" x14ac:dyDescent="0.2">
      <c r="A27" s="39"/>
      <c r="B27" s="39"/>
      <c r="C27" s="39"/>
      <c r="D27" s="39"/>
    </row>
    <row r="28" spans="1:7" x14ac:dyDescent="0.2">
      <c r="A28" s="39"/>
      <c r="B28" s="39"/>
      <c r="C28" s="39"/>
      <c r="D28" s="39"/>
    </row>
    <row r="29" spans="1:7" x14ac:dyDescent="0.2">
      <c r="A29" s="39"/>
      <c r="B29" s="39"/>
      <c r="C29" s="39"/>
      <c r="D29" s="39"/>
    </row>
    <row r="30" spans="1:7" x14ac:dyDescent="0.2">
      <c r="A30" s="39"/>
      <c r="B30" s="39"/>
      <c r="C30" s="39"/>
      <c r="D30" s="39"/>
    </row>
    <row r="31" spans="1:7" x14ac:dyDescent="0.2">
      <c r="A31" s="39"/>
      <c r="B31" s="39"/>
      <c r="C31" s="39"/>
      <c r="D31" s="39"/>
    </row>
  </sheetData>
  <mergeCells count="3">
    <mergeCell ref="A3:D8"/>
    <mergeCell ref="A9:D9"/>
    <mergeCell ref="A21:D31"/>
  </mergeCells>
  <phoneticPr fontId="1" type="noConversion"/>
  <pageMargins left="0.75" right="0.75" top="1" bottom="1" header="0.5" footer="0.5"/>
  <pageSetup orientation="portrait" r:id="rId1"/>
  <headerFooter alignWithMargins="0"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19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8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(8)'!B1+1)</f>
        <v>Rockingham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(8)'!$B$1+1)</f>
        <v>54015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(8)'!$B$1+1)</f>
        <v>34956</v>
      </c>
      <c r="C6" s="7">
        <f t="shared" ref="C6:C13" si="0">+E6+F6</f>
        <v>2494</v>
      </c>
      <c r="D6" s="11">
        <f t="shared" ref="D6:D14" si="1">+C6/B6</f>
        <v>7.1346836022428195E-2</v>
      </c>
      <c r="E6" s="7">
        <f>+VLOOKUP($A6,DataSets!$A$41:$L$49,'1 (8)'!$B$1+1)</f>
        <v>446</v>
      </c>
      <c r="F6" s="7">
        <f>+VLOOKUP($A6,DataSets!$A$65:$L$73,'1 (8)'!$B$1+1)</f>
        <v>2048</v>
      </c>
      <c r="G6" s="12">
        <f t="shared" ref="G6:G14" si="2">+E6/$C6</f>
        <v>0.17882919005613473</v>
      </c>
      <c r="H6" s="12">
        <f t="shared" ref="H6:H14" si="3">+F6/$C6</f>
        <v>0.82117080994386527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(8)'!$B$1+1)</f>
        <v>29257</v>
      </c>
      <c r="C7" s="7">
        <f t="shared" si="0"/>
        <v>11980</v>
      </c>
      <c r="D7" s="11">
        <f t="shared" si="1"/>
        <v>0.40947465563796698</v>
      </c>
      <c r="E7" s="7">
        <f>+VLOOKUP($A7,DataSets!$A$41:$L$49,'1 (8)'!$B$1+1)</f>
        <v>6091</v>
      </c>
      <c r="F7" s="7">
        <f>+VLOOKUP($A7,DataSets!$A$65:$L$73,'1 (8)'!$B$1+1)</f>
        <v>5889</v>
      </c>
      <c r="G7" s="12">
        <f t="shared" si="2"/>
        <v>0.50843071786310523</v>
      </c>
      <c r="H7" s="12">
        <f t="shared" si="3"/>
        <v>0.49156928213689483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(8)'!$B$1+1)</f>
        <v>43086</v>
      </c>
      <c r="C8" s="7">
        <f t="shared" si="0"/>
        <v>22286</v>
      </c>
      <c r="D8" s="11">
        <f t="shared" si="1"/>
        <v>0.51724458060622935</v>
      </c>
      <c r="E8" s="7">
        <f>+VLOOKUP($A8,DataSets!$A$41:$L$49,'1 (8)'!$B$1+1)</f>
        <v>17119</v>
      </c>
      <c r="F8" s="7">
        <f>+VLOOKUP($A8,DataSets!$A$65:$L$73,'1 (8)'!$B$1+1)</f>
        <v>5167</v>
      </c>
      <c r="G8" s="12">
        <f t="shared" si="2"/>
        <v>0.76815040832809833</v>
      </c>
      <c r="H8" s="12">
        <f t="shared" si="3"/>
        <v>0.23184959167190164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(8)'!$B$1+1)</f>
        <v>55517</v>
      </c>
      <c r="C9" s="7">
        <f t="shared" si="0"/>
        <v>31047</v>
      </c>
      <c r="D9" s="11">
        <f t="shared" si="1"/>
        <v>0.55923410847127908</v>
      </c>
      <c r="E9" s="7">
        <f>+VLOOKUP($A9,DataSets!$A$41:$L$49,'1 (8)'!$B$1+1)</f>
        <v>25625</v>
      </c>
      <c r="F9" s="7">
        <f>+VLOOKUP($A9,DataSets!$A$65:$L$73,'1 (8)'!$B$1+1)</f>
        <v>5422</v>
      </c>
      <c r="G9" s="12">
        <f t="shared" si="2"/>
        <v>0.82536154861983446</v>
      </c>
      <c r="H9" s="12">
        <f t="shared" si="3"/>
        <v>0.17463845138016557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(8)'!$B$1+1)</f>
        <v>40968</v>
      </c>
      <c r="C10" s="7">
        <f t="shared" si="0"/>
        <v>23842</v>
      </c>
      <c r="D10" s="11">
        <f t="shared" si="1"/>
        <v>0.58196641280999806</v>
      </c>
      <c r="E10" s="7">
        <f>+VLOOKUP($A10,DataSets!$A$41:$L$49,'1 (8)'!$B$1+1)</f>
        <v>20359</v>
      </c>
      <c r="F10" s="7">
        <f>+VLOOKUP($A10,DataSets!$A$65:$L$73,'1 (8)'!$B$1+1)</f>
        <v>3483</v>
      </c>
      <c r="G10" s="12">
        <f t="shared" si="2"/>
        <v>0.85391326231020892</v>
      </c>
      <c r="H10" s="12">
        <f t="shared" si="3"/>
        <v>0.14608673768979114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(8)'!$B$1+1)</f>
        <v>21216</v>
      </c>
      <c r="C11" s="7">
        <f t="shared" si="0"/>
        <v>13108</v>
      </c>
      <c r="D11" s="11">
        <f t="shared" si="1"/>
        <v>0.61783559577677227</v>
      </c>
      <c r="E11" s="7">
        <f>+VLOOKUP($A11,DataSets!$A$41:$L$49,'1 (8)'!$B$1+1)</f>
        <v>11086</v>
      </c>
      <c r="F11" s="7">
        <f>+VLOOKUP($A11,DataSets!$A$65:$L$73,'1 (8)'!$B$1+1)</f>
        <v>2022</v>
      </c>
      <c r="G11" s="12">
        <f t="shared" si="2"/>
        <v>0.84574305767470248</v>
      </c>
      <c r="H11" s="12">
        <f t="shared" si="3"/>
        <v>0.15425694232529752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(8)'!$B$1+1)</f>
        <v>11571</v>
      </c>
      <c r="C12" s="7">
        <f t="shared" si="0"/>
        <v>7434</v>
      </c>
      <c r="D12" s="11">
        <f t="shared" si="1"/>
        <v>0.64246823956442833</v>
      </c>
      <c r="E12" s="7">
        <f>+VLOOKUP($A12,DataSets!$A$41:$L$49,'1 (8)'!$B$1+1)</f>
        <v>5855</v>
      </c>
      <c r="F12" s="7">
        <f>+VLOOKUP($A12,DataSets!$A$65:$L$73,'1 (8)'!$B$1+1)</f>
        <v>1579</v>
      </c>
      <c r="G12" s="12">
        <f t="shared" si="2"/>
        <v>0.78759752488566048</v>
      </c>
      <c r="H12" s="12">
        <f t="shared" si="3"/>
        <v>0.21240247511433952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(8)'!$B$1+1)</f>
        <v>4637</v>
      </c>
      <c r="C13" s="7">
        <f t="shared" si="0"/>
        <v>2842</v>
      </c>
      <c r="D13" s="11">
        <f t="shared" si="1"/>
        <v>0.61289626913952988</v>
      </c>
      <c r="E13" s="7">
        <f>+VLOOKUP($A13,DataSets!$A$41:$L$49,'1 (8)'!$B$1+1)</f>
        <v>1784</v>
      </c>
      <c r="F13" s="7">
        <f>+VLOOKUP($A13,DataSets!$A$65:$L$73,'1 (8)'!$B$1+1)</f>
        <v>1058</v>
      </c>
      <c r="G13" s="12">
        <f t="shared" si="2"/>
        <v>0.6277269528501056</v>
      </c>
      <c r="H13" s="12">
        <f t="shared" si="3"/>
        <v>0.37227304714989445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295223</v>
      </c>
      <c r="C14" s="7">
        <f>SUM(C5:C13)</f>
        <v>115033</v>
      </c>
      <c r="D14" s="13">
        <f t="shared" si="1"/>
        <v>0.38964782554204785</v>
      </c>
      <c r="E14" s="7">
        <f>SUM(E5:E13)</f>
        <v>88365</v>
      </c>
      <c r="F14" s="7">
        <f>SUM(F5:F13)</f>
        <v>26668</v>
      </c>
      <c r="G14" s="14">
        <f t="shared" si="2"/>
        <v>0.76817087270609308</v>
      </c>
      <c r="H14" s="14">
        <f t="shared" si="3"/>
        <v>0.23182912729390698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(8)'!$B$1+1)</f>
        <v>2498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(8)'!$B$1+1)</f>
        <v>1394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1104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Rockingham County, New Hampshire</v>
      </c>
    </row>
    <row r="22" spans="1:18" x14ac:dyDescent="0.2">
      <c r="A22" s="4" t="s">
        <v>10</v>
      </c>
      <c r="B22" s="7">
        <f>+B14-B17</f>
        <v>292725</v>
      </c>
      <c r="C22" s="7">
        <f>+C14-C17</f>
        <v>115033</v>
      </c>
      <c r="D22" s="8" t="s">
        <v>18</v>
      </c>
      <c r="E22" s="7">
        <f>+E14-E17</f>
        <v>88365</v>
      </c>
      <c r="F22" s="7">
        <f>+F14-F17</f>
        <v>26668</v>
      </c>
      <c r="G22" s="14">
        <f t="shared" ref="G22:H24" si="6">+E22/$C22</f>
        <v>0.76817087270609308</v>
      </c>
      <c r="H22" s="14">
        <f t="shared" si="6"/>
        <v>0.23182912729390698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256405</v>
      </c>
      <c r="C23" s="7">
        <f>SUM(C5:C10)-C18</f>
        <v>91649</v>
      </c>
      <c r="D23" s="8" t="s">
        <v>18</v>
      </c>
      <c r="E23" s="7">
        <f>SUM(E5:E10)-E18</f>
        <v>69640</v>
      </c>
      <c r="F23" s="7">
        <f>SUM(F5:F10)-F18</f>
        <v>22009</v>
      </c>
      <c r="G23" s="14">
        <f t="shared" si="6"/>
        <v>0.7598555357941712</v>
      </c>
      <c r="H23" s="14">
        <f t="shared" si="6"/>
        <v>0.24014446420582877</v>
      </c>
      <c r="L23" t="s">
        <v>10</v>
      </c>
      <c r="M23" s="17">
        <f>SUM(M24:M27)</f>
        <v>115033</v>
      </c>
      <c r="N23" s="19">
        <f>+M23/M$23</f>
        <v>1</v>
      </c>
      <c r="O23" s="17">
        <f>SUM(O24:O27)</f>
        <v>134167.75181881111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36320</v>
      </c>
      <c r="C24" s="7">
        <f>+SUM(C11:C13)-C19</f>
        <v>23384</v>
      </c>
      <c r="D24" s="8" t="s">
        <v>18</v>
      </c>
      <c r="E24" s="7">
        <f>+SUM(E11:E13)-E19</f>
        <v>18725</v>
      </c>
      <c r="F24" s="7">
        <f>+SUM(F11:F13)-F19</f>
        <v>4659</v>
      </c>
      <c r="G24" s="14">
        <f t="shared" si="6"/>
        <v>0.80076120424221686</v>
      </c>
      <c r="H24" s="14">
        <f t="shared" si="6"/>
        <v>0.19923879575778311</v>
      </c>
      <c r="L24" t="s">
        <v>88</v>
      </c>
      <c r="M24" s="17">
        <f>+SUM(E6:F6)</f>
        <v>2494</v>
      </c>
      <c r="N24" s="19">
        <f>+M24/M$23</f>
        <v>2.1680735093407979E-2</v>
      </c>
      <c r="O24" s="17">
        <f>+SUM(E35:F35)</f>
        <v>2115.6477285730634</v>
      </c>
      <c r="P24" s="19">
        <f>+O24/O$23</f>
        <v>1.5768675407412149E-2</v>
      </c>
      <c r="R24" s="19">
        <f>+P24-N24</f>
        <v>-5.9120596859958303E-3</v>
      </c>
    </row>
    <row r="25" spans="1:18" x14ac:dyDescent="0.2">
      <c r="L25" t="s">
        <v>89</v>
      </c>
      <c r="M25" s="17">
        <f>SUM(E7:F8)</f>
        <v>34266</v>
      </c>
      <c r="N25" s="19">
        <f>+M25/M$23</f>
        <v>0.29787973885754521</v>
      </c>
      <c r="O25" s="17">
        <f>+SUM(E36:F37)</f>
        <v>38034.539598148258</v>
      </c>
      <c r="P25" s="19">
        <f>+O25/O$23</f>
        <v>0.28348495881120961</v>
      </c>
      <c r="R25" s="19">
        <f>+P25-N25</f>
        <v>-1.4394780046335598E-2</v>
      </c>
    </row>
    <row r="26" spans="1:18" x14ac:dyDescent="0.2">
      <c r="A26" s="3" t="s">
        <v>26</v>
      </c>
      <c r="L26" t="s">
        <v>90</v>
      </c>
      <c r="M26" s="17">
        <f>+SUM(E9:F10)</f>
        <v>54889</v>
      </c>
      <c r="N26" s="19">
        <f>+M26/M$23</f>
        <v>0.47715872836490397</v>
      </c>
      <c r="O26" s="17">
        <f>+SUM(E38:F39)</f>
        <v>48393.876258540826</v>
      </c>
      <c r="P26" s="19">
        <f>+O26/O$23</f>
        <v>0.36069678147320433</v>
      </c>
      <c r="R26" s="19">
        <f>+P26-N26</f>
        <v>-0.11646194689169964</v>
      </c>
    </row>
    <row r="27" spans="1:18" x14ac:dyDescent="0.2">
      <c r="A27" s="4" t="s">
        <v>10</v>
      </c>
      <c r="B27" s="16">
        <f>+B22/C22</f>
        <v>2.5447045630384326</v>
      </c>
      <c r="D27" s="1"/>
      <c r="E27" t="s">
        <v>27</v>
      </c>
      <c r="L27" t="s">
        <v>91</v>
      </c>
      <c r="M27" s="17">
        <f>+SUM(E11:F13)</f>
        <v>23384</v>
      </c>
      <c r="N27" s="19">
        <f>+M27/M$23</f>
        <v>0.20328079768414281</v>
      </c>
      <c r="O27" s="17">
        <f>+SUM(E40:F42)</f>
        <v>45623.688233548957</v>
      </c>
      <c r="P27" s="19">
        <f>+O27/O$23</f>
        <v>0.34004958430817389</v>
      </c>
      <c r="R27" s="19">
        <f>+P27-N27</f>
        <v>0.13676878662403108</v>
      </c>
    </row>
    <row r="28" spans="1:18" x14ac:dyDescent="0.2">
      <c r="A28" s="4" t="s">
        <v>20</v>
      </c>
      <c r="B28" s="16">
        <f>+B23/C23</f>
        <v>2.7976846446769743</v>
      </c>
      <c r="D28" s="2"/>
      <c r="E28" t="s">
        <v>28</v>
      </c>
    </row>
    <row r="29" spans="1:18" x14ac:dyDescent="0.2">
      <c r="A29" s="4" t="s">
        <v>21</v>
      </c>
      <c r="B29" s="16">
        <f>+B24/C24</f>
        <v>1.5531987683886419</v>
      </c>
      <c r="M29" s="17">
        <f>+E14+F14</f>
        <v>115033</v>
      </c>
      <c r="O29" s="17">
        <f>+E43+F43</f>
        <v>134167.75181881111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(8)'!D1+1)</f>
        <v>2025</v>
      </c>
      <c r="C32" s="20" t="str">
        <f>+C3</f>
        <v>County:</v>
      </c>
      <c r="D32" s="23" t="str">
        <f>+D3</f>
        <v>Rockingham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(8)'!$B$1+1)</f>
        <v>44747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(8)'!$B$1+1)</f>
        <v>29653</v>
      </c>
      <c r="C35" s="7">
        <f t="shared" ref="C35:C42" si="7">+B35*D35</f>
        <v>2115.6477285730634</v>
      </c>
      <c r="D35" s="11">
        <f t="shared" ref="D35:D42" si="8">+D6</f>
        <v>7.1346836022428195E-2</v>
      </c>
      <c r="E35" s="7">
        <f t="shared" ref="E35:F42" si="9">+G35*$C35</f>
        <v>378.33956974482209</v>
      </c>
      <c r="F35" s="7">
        <f t="shared" si="9"/>
        <v>1737.3081588282414</v>
      </c>
      <c r="G35" s="12">
        <f t="shared" ref="G35:H42" si="10">+G6</f>
        <v>0.17882919005613473</v>
      </c>
      <c r="H35" s="12">
        <f t="shared" si="10"/>
        <v>0.82117080994386527</v>
      </c>
    </row>
    <row r="36" spans="1:8" x14ac:dyDescent="0.2">
      <c r="A36" s="4" t="s">
        <v>3</v>
      </c>
      <c r="B36" s="7">
        <f>+VLOOKUP($A36,forecasts!$I$3:$T$12,'1 (8)'!$B$1+1)</f>
        <v>39073</v>
      </c>
      <c r="C36" s="7">
        <f t="shared" si="7"/>
        <v>15999.403219742284</v>
      </c>
      <c r="D36" s="11">
        <f t="shared" si="8"/>
        <v>0.40947465563796698</v>
      </c>
      <c r="E36" s="7">
        <f t="shared" si="9"/>
        <v>8134.5880643948467</v>
      </c>
      <c r="F36" s="7">
        <f t="shared" si="9"/>
        <v>7864.8151553474381</v>
      </c>
      <c r="G36" s="12">
        <f t="shared" si="10"/>
        <v>0.50843071786310523</v>
      </c>
      <c r="H36" s="12">
        <f t="shared" si="10"/>
        <v>0.49156928213689483</v>
      </c>
    </row>
    <row r="37" spans="1:8" x14ac:dyDescent="0.2">
      <c r="A37" s="4" t="s">
        <v>4</v>
      </c>
      <c r="B37" s="7">
        <f>+VLOOKUP($A37,forecasts!$I$3:$T$12,'1 (8)'!$B$1+1)</f>
        <v>42601</v>
      </c>
      <c r="C37" s="7">
        <f t="shared" si="7"/>
        <v>22035.136378405976</v>
      </c>
      <c r="D37" s="11">
        <f t="shared" si="8"/>
        <v>0.51724458060622935</v>
      </c>
      <c r="E37" s="7">
        <f t="shared" si="9"/>
        <v>16926.299006637884</v>
      </c>
      <c r="F37" s="7">
        <f t="shared" si="9"/>
        <v>5108.8373717680906</v>
      </c>
      <c r="G37" s="12">
        <f t="shared" si="10"/>
        <v>0.76815040832809833</v>
      </c>
      <c r="H37" s="12">
        <f t="shared" si="10"/>
        <v>0.23184959167190164</v>
      </c>
    </row>
    <row r="38" spans="1:8" x14ac:dyDescent="0.2">
      <c r="A38" s="4" t="s">
        <v>5</v>
      </c>
      <c r="B38" s="7">
        <f>+VLOOKUP($A38,forecasts!$I$3:$T$12,'1 (8)'!$B$1+1)</f>
        <v>35949</v>
      </c>
      <c r="C38" s="7">
        <f t="shared" si="7"/>
        <v>20103.906965434013</v>
      </c>
      <c r="D38" s="11">
        <f t="shared" si="8"/>
        <v>0.55923410847127908</v>
      </c>
      <c r="E38" s="7">
        <f t="shared" si="9"/>
        <v>16592.991786299695</v>
      </c>
      <c r="F38" s="7">
        <f t="shared" si="9"/>
        <v>3510.9151791343197</v>
      </c>
      <c r="G38" s="12">
        <f t="shared" si="10"/>
        <v>0.82536154861983446</v>
      </c>
      <c r="H38" s="12">
        <f t="shared" si="10"/>
        <v>0.17463845138016557</v>
      </c>
    </row>
    <row r="39" spans="1:8" x14ac:dyDescent="0.2">
      <c r="A39" s="4" t="s">
        <v>6</v>
      </c>
      <c r="B39" s="7">
        <f>+VLOOKUP($A39,forecasts!$I$3:$T$12,'1 (8)'!$B$1+1)</f>
        <v>48611</v>
      </c>
      <c r="C39" s="7">
        <f t="shared" si="7"/>
        <v>28289.969293106817</v>
      </c>
      <c r="D39" s="11">
        <f t="shared" si="8"/>
        <v>0.58196641280999806</v>
      </c>
      <c r="E39" s="7">
        <f t="shared" si="9"/>
        <v>24157.179969732475</v>
      </c>
      <c r="F39" s="7">
        <f t="shared" si="9"/>
        <v>4132.7893233743416</v>
      </c>
      <c r="G39" s="12">
        <f t="shared" si="10"/>
        <v>0.85391326231020892</v>
      </c>
      <c r="H39" s="12">
        <f t="shared" si="10"/>
        <v>0.14608673768979114</v>
      </c>
    </row>
    <row r="40" spans="1:8" x14ac:dyDescent="0.2">
      <c r="A40" s="4" t="s">
        <v>7</v>
      </c>
      <c r="B40" s="7">
        <f>+VLOOKUP($A40,forecasts!$I$3:$T$12,'1 (8)'!$B$1+1)</f>
        <v>41785</v>
      </c>
      <c r="C40" s="7">
        <f t="shared" si="7"/>
        <v>25816.260369532429</v>
      </c>
      <c r="D40" s="11">
        <f t="shared" si="8"/>
        <v>0.61783559577677227</v>
      </c>
      <c r="E40" s="7">
        <f t="shared" si="9"/>
        <v>21833.9229826546</v>
      </c>
      <c r="F40" s="7">
        <f t="shared" si="9"/>
        <v>3982.3373868778281</v>
      </c>
      <c r="G40" s="12">
        <f t="shared" si="10"/>
        <v>0.84574305767470248</v>
      </c>
      <c r="H40" s="12">
        <f t="shared" si="10"/>
        <v>0.15425694232529752</v>
      </c>
    </row>
    <row r="41" spans="1:8" x14ac:dyDescent="0.2">
      <c r="A41" s="4" t="s">
        <v>8</v>
      </c>
      <c r="B41" s="7">
        <f>+VLOOKUP($A41,forecasts!$I$3:$T$12,'1 (8)'!$B$1+1)</f>
        <v>23166</v>
      </c>
      <c r="C41" s="7">
        <f t="shared" si="7"/>
        <v>14883.419237749547</v>
      </c>
      <c r="D41" s="11">
        <f t="shared" si="8"/>
        <v>0.64246823956442833</v>
      </c>
      <c r="E41" s="7">
        <f t="shared" si="9"/>
        <v>11722.144153487166</v>
      </c>
      <c r="F41" s="7">
        <f t="shared" si="9"/>
        <v>3161.2750842623805</v>
      </c>
      <c r="G41" s="12">
        <f t="shared" si="10"/>
        <v>0.78759752488566048</v>
      </c>
      <c r="H41" s="12">
        <f t="shared" si="10"/>
        <v>0.21240247511433952</v>
      </c>
    </row>
    <row r="42" spans="1:8" x14ac:dyDescent="0.2">
      <c r="A42" s="4" t="s">
        <v>70</v>
      </c>
      <c r="B42" s="7">
        <f>+VLOOKUP($A42,forecasts!$I$3:$T$12,'1 (8)'!$B$1+1)</f>
        <v>8034</v>
      </c>
      <c r="C42" s="7">
        <f t="shared" si="7"/>
        <v>4924.0086262669829</v>
      </c>
      <c r="D42" s="11">
        <f t="shared" si="8"/>
        <v>0.61289626913952988</v>
      </c>
      <c r="E42" s="7">
        <f t="shared" si="9"/>
        <v>3090.9329307742078</v>
      </c>
      <c r="F42" s="7">
        <f t="shared" si="9"/>
        <v>1833.0756954927756</v>
      </c>
      <c r="G42" s="12">
        <f t="shared" si="10"/>
        <v>0.6277269528501056</v>
      </c>
      <c r="H42" s="12">
        <f t="shared" si="10"/>
        <v>0.37227304714989445</v>
      </c>
    </row>
    <row r="43" spans="1:8" x14ac:dyDescent="0.2">
      <c r="A43" s="4" t="s">
        <v>10</v>
      </c>
      <c r="B43" s="7">
        <f>SUM(B34:B42)</f>
        <v>313619</v>
      </c>
      <c r="C43" s="7">
        <f>SUM(C34:C42)</f>
        <v>134167.75181881111</v>
      </c>
      <c r="D43" s="13">
        <f>+C43/B43</f>
        <v>0.42780492195565673</v>
      </c>
      <c r="E43" s="7">
        <f>SUM(E34:E42)</f>
        <v>102836.39846372569</v>
      </c>
      <c r="F43" s="7">
        <f>SUM(F34:F42)</f>
        <v>31331.353355085415</v>
      </c>
      <c r="G43" s="14">
        <f>+E43/$C43</f>
        <v>0.76647627369207671</v>
      </c>
      <c r="H43" s="14">
        <f>+F43/$C43</f>
        <v>0.23352372630792323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3252.7546077618404</v>
      </c>
    </row>
    <row r="47" spans="1:8" x14ac:dyDescent="0.2">
      <c r="A47" s="4" t="s">
        <v>20</v>
      </c>
      <c r="B47" s="7">
        <f>+B18*(SUM(B35:B39)/SUM(B6:B10))</f>
        <v>1339.9799689867702</v>
      </c>
      <c r="D47" t="s">
        <v>30</v>
      </c>
    </row>
    <row r="48" spans="1:8" x14ac:dyDescent="0.2">
      <c r="A48" s="4" t="s">
        <v>21</v>
      </c>
      <c r="B48" s="7">
        <f>+B19*(B42/B13)</f>
        <v>1912.7746387750701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310366.24539223814</v>
      </c>
      <c r="C51" s="7">
        <f>+C43-C46</f>
        <v>134167.75181881111</v>
      </c>
      <c r="D51" s="8" t="s">
        <v>18</v>
      </c>
      <c r="E51" s="7">
        <f>+E43-E46</f>
        <v>102836.39846372569</v>
      </c>
      <c r="F51" s="7">
        <f>+F43-F46</f>
        <v>31331.353355085415</v>
      </c>
      <c r="G51" s="14">
        <f t="shared" ref="G51:H53" si="11">+E51/$C51</f>
        <v>0.76647627369207671</v>
      </c>
      <c r="H51" s="14">
        <f t="shared" si="11"/>
        <v>0.23352372630792323</v>
      </c>
    </row>
    <row r="52" spans="1:8" x14ac:dyDescent="0.2">
      <c r="A52" s="4" t="s">
        <v>20</v>
      </c>
      <c r="B52" s="7">
        <f>SUM(B34:B39)-B47</f>
        <v>239294.02003101323</v>
      </c>
      <c r="C52" s="7">
        <f>SUM(C34:C39)-C47</f>
        <v>88544.063585262149</v>
      </c>
      <c r="D52" s="8" t="s">
        <v>18</v>
      </c>
      <c r="E52" s="7">
        <f>SUM(E34:E39)-E47</f>
        <v>66189.398396809731</v>
      </c>
      <c r="F52" s="7">
        <f>SUM(F34:F39)-F47</f>
        <v>22354.665188452433</v>
      </c>
      <c r="G52" s="14">
        <f t="shared" si="11"/>
        <v>0.74753061602005266</v>
      </c>
      <c r="H52" s="14">
        <f t="shared" si="11"/>
        <v>0.25246938397994745</v>
      </c>
    </row>
    <row r="53" spans="1:8" x14ac:dyDescent="0.2">
      <c r="A53" s="4" t="s">
        <v>21</v>
      </c>
      <c r="B53" s="7">
        <f>+SUM(B40:B42)-B48</f>
        <v>71072.225361224933</v>
      </c>
      <c r="C53" s="7">
        <f>+SUM(C40:C42)-C48</f>
        <v>45623.688233548964</v>
      </c>
      <c r="D53" s="8" t="s">
        <v>18</v>
      </c>
      <c r="E53" s="7">
        <f>+SUM(E40:E42)-E48</f>
        <v>36647.000066915971</v>
      </c>
      <c r="F53" s="7">
        <f>+SUM(F40:F42)-F48</f>
        <v>8976.6881666329828</v>
      </c>
      <c r="G53" s="14">
        <f t="shared" si="11"/>
        <v>0.8032450134088005</v>
      </c>
      <c r="H53" s="14">
        <f t="shared" si="11"/>
        <v>0.19675498659119928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2.3132700755944464</v>
      </c>
      <c r="D56" s="1"/>
      <c r="E56" t="s">
        <v>27</v>
      </c>
    </row>
    <row r="57" spans="1:8" x14ac:dyDescent="0.2">
      <c r="A57" s="4" t="s">
        <v>20</v>
      </c>
      <c r="B57" s="16">
        <f>+B52/C52</f>
        <v>2.7025416537449596</v>
      </c>
      <c r="D57" s="2"/>
      <c r="E57" t="s">
        <v>28</v>
      </c>
    </row>
    <row r="58" spans="1:8" x14ac:dyDescent="0.2">
      <c r="A58" s="4" t="s">
        <v>21</v>
      </c>
      <c r="B58" s="16">
        <f>+B53/C53</f>
        <v>1.5577921933317662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19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9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(9)'!B1+1)</f>
        <v>Strafford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(9)'!$B$1+1)</f>
        <v>20997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(9)'!$B$1+1)</f>
        <v>23153</v>
      </c>
      <c r="C6" s="7">
        <f t="shared" ref="C6:C13" si="0">+E6+F6</f>
        <v>2775</v>
      </c>
      <c r="D6" s="11">
        <f t="shared" ref="D6:D14" si="1">+C6/B6</f>
        <v>0.1198548784174837</v>
      </c>
      <c r="E6" s="7">
        <f>+VLOOKUP($A6,DataSets!$A$41:$L$49,'1 (9)'!$B$1+1)</f>
        <v>253</v>
      </c>
      <c r="F6" s="7">
        <f>+VLOOKUP($A6,DataSets!$A$65:$L$73,'1 (9)'!$B$1+1)</f>
        <v>2522</v>
      </c>
      <c r="G6" s="12">
        <f t="shared" ref="G6:G14" si="2">+E6/$C6</f>
        <v>9.117117117117117E-2</v>
      </c>
      <c r="H6" s="12">
        <f t="shared" ref="H6:H14" si="3">+F6/$C6</f>
        <v>0.90882882882882887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(9)'!$B$1+1)</f>
        <v>14784</v>
      </c>
      <c r="C7" s="7">
        <f t="shared" si="0"/>
        <v>6927</v>
      </c>
      <c r="D7" s="11">
        <f t="shared" si="1"/>
        <v>0.46854707792207795</v>
      </c>
      <c r="E7" s="7">
        <f>+VLOOKUP($A7,DataSets!$A$41:$L$49,'1 (9)'!$B$1+1)</f>
        <v>3036</v>
      </c>
      <c r="F7" s="7">
        <f>+VLOOKUP($A7,DataSets!$A$65:$L$73,'1 (9)'!$B$1+1)</f>
        <v>3891</v>
      </c>
      <c r="G7" s="12">
        <f t="shared" si="2"/>
        <v>0.43828497184928539</v>
      </c>
      <c r="H7" s="12">
        <f t="shared" si="3"/>
        <v>0.56171502815071461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(9)'!$B$1+1)</f>
        <v>16011</v>
      </c>
      <c r="C8" s="7">
        <f t="shared" si="0"/>
        <v>8555</v>
      </c>
      <c r="D8" s="11">
        <f t="shared" si="1"/>
        <v>0.5343201548935107</v>
      </c>
      <c r="E8" s="7">
        <f>+VLOOKUP($A8,DataSets!$A$41:$L$49,'1 (9)'!$B$1+1)</f>
        <v>5831</v>
      </c>
      <c r="F8" s="7">
        <f>+VLOOKUP($A8,DataSets!$A$65:$L$73,'1 (9)'!$B$1+1)</f>
        <v>2724</v>
      </c>
      <c r="G8" s="12">
        <f t="shared" si="2"/>
        <v>0.68158971361776743</v>
      </c>
      <c r="H8" s="12">
        <f t="shared" si="3"/>
        <v>0.31841028638223262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(9)'!$B$1+1)</f>
        <v>19357</v>
      </c>
      <c r="C9" s="7">
        <f t="shared" si="0"/>
        <v>11011</v>
      </c>
      <c r="D9" s="11">
        <f t="shared" si="1"/>
        <v>0.5688381464069846</v>
      </c>
      <c r="E9" s="7">
        <f>+VLOOKUP($A9,DataSets!$A$41:$L$49,'1 (9)'!$B$1+1)</f>
        <v>8352</v>
      </c>
      <c r="F9" s="7">
        <f>+VLOOKUP($A9,DataSets!$A$65:$L$73,'1 (9)'!$B$1+1)</f>
        <v>2659</v>
      </c>
      <c r="G9" s="12">
        <f t="shared" si="2"/>
        <v>0.7585142130596676</v>
      </c>
      <c r="H9" s="12">
        <f t="shared" si="3"/>
        <v>0.2414857869403324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(9)'!$B$1+1)</f>
        <v>14196</v>
      </c>
      <c r="C10" s="7">
        <f t="shared" si="0"/>
        <v>8434</v>
      </c>
      <c r="D10" s="11">
        <f t="shared" si="1"/>
        <v>0.59411101718794024</v>
      </c>
      <c r="E10" s="7">
        <f>+VLOOKUP($A10,DataSets!$A$41:$L$49,'1 (9)'!$B$1+1)</f>
        <v>6708</v>
      </c>
      <c r="F10" s="7">
        <f>+VLOOKUP($A10,DataSets!$A$65:$L$73,'1 (9)'!$B$1+1)</f>
        <v>1726</v>
      </c>
      <c r="G10" s="12">
        <f t="shared" si="2"/>
        <v>0.79535214607540905</v>
      </c>
      <c r="H10" s="12">
        <f t="shared" si="3"/>
        <v>0.20464785392459095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(9)'!$B$1+1)</f>
        <v>7786</v>
      </c>
      <c r="C11" s="7">
        <f t="shared" si="0"/>
        <v>4927</v>
      </c>
      <c r="D11" s="11">
        <f t="shared" si="1"/>
        <v>0.63280246596455181</v>
      </c>
      <c r="E11" s="7">
        <f>+VLOOKUP($A11,DataSets!$A$41:$L$49,'1 (9)'!$B$1+1)</f>
        <v>3912</v>
      </c>
      <c r="F11" s="7">
        <f>+VLOOKUP($A11,DataSets!$A$65:$L$73,'1 (9)'!$B$1+1)</f>
        <v>1015</v>
      </c>
      <c r="G11" s="12">
        <f t="shared" si="2"/>
        <v>0.79399228739598138</v>
      </c>
      <c r="H11" s="12">
        <f t="shared" si="3"/>
        <v>0.20600771260401868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(9)'!$B$1+1)</f>
        <v>4841</v>
      </c>
      <c r="C12" s="7">
        <f t="shared" si="0"/>
        <v>3200</v>
      </c>
      <c r="D12" s="11">
        <f t="shared" si="1"/>
        <v>0.66102045032018175</v>
      </c>
      <c r="E12" s="7">
        <f>+VLOOKUP($A12,DataSets!$A$41:$L$49,'1 (9)'!$B$1+1)</f>
        <v>2381</v>
      </c>
      <c r="F12" s="7">
        <f>+VLOOKUP($A12,DataSets!$A$65:$L$73,'1 (9)'!$B$1+1)</f>
        <v>819</v>
      </c>
      <c r="G12" s="12">
        <f t="shared" si="2"/>
        <v>0.74406249999999996</v>
      </c>
      <c r="H12" s="12">
        <f t="shared" si="3"/>
        <v>0.25593749999999998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(9)'!$B$1+1)</f>
        <v>2018</v>
      </c>
      <c r="C13" s="7">
        <f t="shared" si="0"/>
        <v>1271</v>
      </c>
      <c r="D13" s="11">
        <f t="shared" si="1"/>
        <v>0.62983151635282453</v>
      </c>
      <c r="E13" s="7">
        <f>+VLOOKUP($A13,DataSets!$A$41:$L$49,'1 (9)'!$B$1+1)</f>
        <v>769</v>
      </c>
      <c r="F13" s="7">
        <f>+VLOOKUP($A13,DataSets!$A$65:$L$73,'1 (9)'!$B$1+1)</f>
        <v>502</v>
      </c>
      <c r="G13" s="12">
        <f t="shared" si="2"/>
        <v>0.60503540519276156</v>
      </c>
      <c r="H13" s="12">
        <f t="shared" si="3"/>
        <v>0.39496459480723839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123143</v>
      </c>
      <c r="C14" s="7">
        <f>SUM(C5:C13)</f>
        <v>47100</v>
      </c>
      <c r="D14" s="13">
        <f t="shared" si="1"/>
        <v>0.38248215489309179</v>
      </c>
      <c r="E14" s="7">
        <f>SUM(E5:E13)</f>
        <v>31242</v>
      </c>
      <c r="F14" s="7">
        <f>SUM(F5:F13)</f>
        <v>15858</v>
      </c>
      <c r="G14" s="14">
        <f t="shared" si="2"/>
        <v>0.66331210191082801</v>
      </c>
      <c r="H14" s="14">
        <f t="shared" si="3"/>
        <v>0.33668789808917199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(9)'!$B$1+1)</f>
        <v>8421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(9)'!$B$1+1)</f>
        <v>7888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533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Strafford County, New Hampshire</v>
      </c>
    </row>
    <row r="22" spans="1:18" x14ac:dyDescent="0.2">
      <c r="A22" s="4" t="s">
        <v>10</v>
      </c>
      <c r="B22" s="7">
        <f>+B14-B17</f>
        <v>114722</v>
      </c>
      <c r="C22" s="7">
        <f>+C14-C17</f>
        <v>47100</v>
      </c>
      <c r="D22" s="8" t="s">
        <v>18</v>
      </c>
      <c r="E22" s="7">
        <f>+E14-E17</f>
        <v>31242</v>
      </c>
      <c r="F22" s="7">
        <f>+F14-F17</f>
        <v>15858</v>
      </c>
      <c r="G22" s="14">
        <f t="shared" ref="G22:H24" si="6">+E22/$C22</f>
        <v>0.66331210191082801</v>
      </c>
      <c r="H22" s="14">
        <f t="shared" si="6"/>
        <v>0.33668789808917199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100610</v>
      </c>
      <c r="C23" s="7">
        <f>SUM(C5:C10)-C18</f>
        <v>37702</v>
      </c>
      <c r="D23" s="8" t="s">
        <v>18</v>
      </c>
      <c r="E23" s="7">
        <f>SUM(E5:E10)-E18</f>
        <v>24180</v>
      </c>
      <c r="F23" s="7">
        <f>SUM(F5:F10)-F18</f>
        <v>13522</v>
      </c>
      <c r="G23" s="14">
        <f t="shared" si="6"/>
        <v>0.64134528672218982</v>
      </c>
      <c r="H23" s="14">
        <f t="shared" si="6"/>
        <v>0.35865471327781018</v>
      </c>
      <c r="L23" t="s">
        <v>10</v>
      </c>
      <c r="M23" s="17">
        <f>SUM(M24:M27)</f>
        <v>47100</v>
      </c>
      <c r="N23" s="19">
        <f>+M23/M$23</f>
        <v>1</v>
      </c>
      <c r="O23" s="17">
        <f>SUM(O24:O27)</f>
        <v>53469.84814915368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14112</v>
      </c>
      <c r="C24" s="7">
        <f>+SUM(C11:C13)-C19</f>
        <v>9398</v>
      </c>
      <c r="D24" s="8" t="s">
        <v>18</v>
      </c>
      <c r="E24" s="7">
        <f>+SUM(E11:E13)-E19</f>
        <v>7062</v>
      </c>
      <c r="F24" s="7">
        <f>+SUM(F11:F13)-F19</f>
        <v>2336</v>
      </c>
      <c r="G24" s="14">
        <f t="shared" si="6"/>
        <v>0.75143647584592466</v>
      </c>
      <c r="H24" s="14">
        <f t="shared" si="6"/>
        <v>0.24856352415407534</v>
      </c>
      <c r="L24" t="s">
        <v>88</v>
      </c>
      <c r="M24" s="17">
        <f>+SUM(E6:F6)</f>
        <v>2775</v>
      </c>
      <c r="N24" s="19">
        <f>+M24/M$23</f>
        <v>5.89171974522293E-2</v>
      </c>
      <c r="O24" s="17">
        <f>+SUM(E35:F35)</f>
        <v>2669.4078521141969</v>
      </c>
      <c r="P24" s="19">
        <f>+O24/O$23</f>
        <v>4.9923610118882453E-2</v>
      </c>
      <c r="R24" s="19">
        <f>+P24-N24</f>
        <v>-8.9935873333468475E-3</v>
      </c>
    </row>
    <row r="25" spans="1:18" x14ac:dyDescent="0.2">
      <c r="L25" t="s">
        <v>89</v>
      </c>
      <c r="M25" s="17">
        <f>SUM(E7:F8)</f>
        <v>15482</v>
      </c>
      <c r="N25" s="19">
        <f>+M25/M$23</f>
        <v>0.32870488322717623</v>
      </c>
      <c r="O25" s="17">
        <f>+SUM(E36:F37)</f>
        <v>16175.332333956992</v>
      </c>
      <c r="P25" s="19">
        <f>+O25/O$23</f>
        <v>0.30251315262456036</v>
      </c>
      <c r="R25" s="19">
        <f>+P25-N25</f>
        <v>-2.619173060261587E-2</v>
      </c>
    </row>
    <row r="26" spans="1:18" x14ac:dyDescent="0.2">
      <c r="A26" s="3" t="s">
        <v>26</v>
      </c>
      <c r="L26" t="s">
        <v>90</v>
      </c>
      <c r="M26" s="17">
        <f>+SUM(E9:F10)</f>
        <v>19445</v>
      </c>
      <c r="N26" s="19">
        <f>+M26/M$23</f>
        <v>0.41284501061571127</v>
      </c>
      <c r="O26" s="17">
        <f>+SUM(E38:F39)</f>
        <v>18255.193432878019</v>
      </c>
      <c r="P26" s="19">
        <f>+O26/O$23</f>
        <v>0.34141098328828828</v>
      </c>
      <c r="R26" s="19">
        <f>+P26-N26</f>
        <v>-7.1434027327422989E-2</v>
      </c>
    </row>
    <row r="27" spans="1:18" x14ac:dyDescent="0.2">
      <c r="A27" s="4" t="s">
        <v>10</v>
      </c>
      <c r="B27" s="16">
        <f>+B22/C22</f>
        <v>2.435711252653928</v>
      </c>
      <c r="D27" s="1"/>
      <c r="E27" t="s">
        <v>27</v>
      </c>
      <c r="L27" t="s">
        <v>91</v>
      </c>
      <c r="M27" s="17">
        <f>+SUM(E11:F13)</f>
        <v>9398</v>
      </c>
      <c r="N27" s="19">
        <f>+M27/M$23</f>
        <v>0.19953290870488322</v>
      </c>
      <c r="O27" s="17">
        <f>+SUM(E40:F42)</f>
        <v>16369.914530204473</v>
      </c>
      <c r="P27" s="19">
        <f>+O27/O$23</f>
        <v>0.30615225396826895</v>
      </c>
      <c r="R27" s="19">
        <f>+P27-N27</f>
        <v>0.10661934526338573</v>
      </c>
    </row>
    <row r="28" spans="1:18" x14ac:dyDescent="0.2">
      <c r="A28" s="4" t="s">
        <v>20</v>
      </c>
      <c r="B28" s="16">
        <f>+B23/C23</f>
        <v>2.6685586971513446</v>
      </c>
      <c r="D28" s="2"/>
      <c r="E28" t="s">
        <v>28</v>
      </c>
    </row>
    <row r="29" spans="1:18" x14ac:dyDescent="0.2">
      <c r="A29" s="4" t="s">
        <v>21</v>
      </c>
      <c r="B29" s="16">
        <f>+B24/C24</f>
        <v>1.5015960842732496</v>
      </c>
      <c r="M29" s="17">
        <f>+E14+F14</f>
        <v>47100</v>
      </c>
      <c r="O29" s="17">
        <f>+E43+F43</f>
        <v>53469.848149153673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(9)'!D1+1)</f>
        <v>2025</v>
      </c>
      <c r="C32" s="20" t="str">
        <f>+C3</f>
        <v>County:</v>
      </c>
      <c r="D32" s="23" t="str">
        <f>+D3</f>
        <v>Strafford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(9)'!$B$1+1)</f>
        <v>19752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(9)'!$B$1+1)</f>
        <v>22272</v>
      </c>
      <c r="C35" s="7">
        <f t="shared" ref="C35:C42" si="7">+B35*D35</f>
        <v>2669.4078521141969</v>
      </c>
      <c r="D35" s="11">
        <f t="shared" ref="D35:D42" si="8">+D6</f>
        <v>0.1198548784174837</v>
      </c>
      <c r="E35" s="7">
        <f t="shared" ref="E35:F42" si="9">+G35*$C35</f>
        <v>243.37304021077182</v>
      </c>
      <c r="F35" s="7">
        <f t="shared" si="9"/>
        <v>2426.0348119034252</v>
      </c>
      <c r="G35" s="12">
        <f t="shared" ref="G35:H42" si="10">+G6</f>
        <v>9.117117117117117E-2</v>
      </c>
      <c r="H35" s="12">
        <f t="shared" si="10"/>
        <v>0.90882882882882887</v>
      </c>
    </row>
    <row r="36" spans="1:8" x14ac:dyDescent="0.2">
      <c r="A36" s="4" t="s">
        <v>3</v>
      </c>
      <c r="B36" s="7">
        <f>+VLOOKUP($A36,forecasts!$I$3:$T$12,'1 (9)'!$B$1+1)</f>
        <v>16477</v>
      </c>
      <c r="C36" s="7">
        <f t="shared" si="7"/>
        <v>7720.2502029220786</v>
      </c>
      <c r="D36" s="11">
        <f t="shared" si="8"/>
        <v>0.46854707792207795</v>
      </c>
      <c r="E36" s="7">
        <f t="shared" si="9"/>
        <v>3383.6696428571431</v>
      </c>
      <c r="F36" s="7">
        <f t="shared" si="9"/>
        <v>4336.5805600649355</v>
      </c>
      <c r="G36" s="12">
        <f t="shared" si="10"/>
        <v>0.43828497184928539</v>
      </c>
      <c r="H36" s="12">
        <f t="shared" si="10"/>
        <v>0.56171502815071461</v>
      </c>
    </row>
    <row r="37" spans="1:8" x14ac:dyDescent="0.2">
      <c r="A37" s="4" t="s">
        <v>4</v>
      </c>
      <c r="B37" s="7">
        <f>+VLOOKUP($A37,forecasts!$I$3:$T$12,'1 (9)'!$B$1+1)</f>
        <v>15824</v>
      </c>
      <c r="C37" s="7">
        <f t="shared" si="7"/>
        <v>8455.0821310349129</v>
      </c>
      <c r="D37" s="11">
        <f t="shared" si="8"/>
        <v>0.5343201548935107</v>
      </c>
      <c r="E37" s="7">
        <f t="shared" si="9"/>
        <v>5762.8970083067888</v>
      </c>
      <c r="F37" s="7">
        <f t="shared" si="9"/>
        <v>2692.1851227281245</v>
      </c>
      <c r="G37" s="12">
        <f t="shared" si="10"/>
        <v>0.68158971361776743</v>
      </c>
      <c r="H37" s="12">
        <f t="shared" si="10"/>
        <v>0.31841028638223262</v>
      </c>
    </row>
    <row r="38" spans="1:8" x14ac:dyDescent="0.2">
      <c r="A38" s="4" t="s">
        <v>5</v>
      </c>
      <c r="B38" s="7">
        <f>+VLOOKUP($A38,forecasts!$I$3:$T$12,'1 (9)'!$B$1+1)</f>
        <v>14342</v>
      </c>
      <c r="C38" s="7">
        <f t="shared" si="7"/>
        <v>8158.2766957689728</v>
      </c>
      <c r="D38" s="11">
        <f t="shared" si="8"/>
        <v>0.5688381464069846</v>
      </c>
      <c r="E38" s="7">
        <f t="shared" si="9"/>
        <v>6188.1688278142274</v>
      </c>
      <c r="F38" s="7">
        <f t="shared" si="9"/>
        <v>1970.1078679547452</v>
      </c>
      <c r="G38" s="12">
        <f t="shared" si="10"/>
        <v>0.7585142130596676</v>
      </c>
      <c r="H38" s="12">
        <f t="shared" si="10"/>
        <v>0.2414857869403324</v>
      </c>
    </row>
    <row r="39" spans="1:8" x14ac:dyDescent="0.2">
      <c r="A39" s="4" t="s">
        <v>6</v>
      </c>
      <c r="B39" s="7">
        <f>+VLOOKUP($A39,forecasts!$I$3:$T$12,'1 (9)'!$B$1+1)</f>
        <v>16995</v>
      </c>
      <c r="C39" s="7">
        <f t="shared" si="7"/>
        <v>10096.916737109044</v>
      </c>
      <c r="D39" s="11">
        <f t="shared" si="8"/>
        <v>0.59411101718794024</v>
      </c>
      <c r="E39" s="7">
        <f t="shared" si="9"/>
        <v>8030.604395604395</v>
      </c>
      <c r="F39" s="7">
        <f t="shared" si="9"/>
        <v>2066.3123415046493</v>
      </c>
      <c r="G39" s="12">
        <f t="shared" si="10"/>
        <v>0.79535214607540905</v>
      </c>
      <c r="H39" s="12">
        <f t="shared" si="10"/>
        <v>0.20464785392459095</v>
      </c>
    </row>
    <row r="40" spans="1:8" x14ac:dyDescent="0.2">
      <c r="A40" s="4" t="s">
        <v>7</v>
      </c>
      <c r="B40" s="7">
        <f>+VLOOKUP($A40,forecasts!$I$3:$T$12,'1 (9)'!$B$1+1)</f>
        <v>15236</v>
      </c>
      <c r="C40" s="7">
        <f t="shared" si="7"/>
        <v>9641.3783714359106</v>
      </c>
      <c r="D40" s="11">
        <f t="shared" si="8"/>
        <v>0.63280246596455181</v>
      </c>
      <c r="E40" s="7">
        <f t="shared" si="9"/>
        <v>7655.18006678654</v>
      </c>
      <c r="F40" s="7">
        <f t="shared" si="9"/>
        <v>1986.1983046493708</v>
      </c>
      <c r="G40" s="12">
        <f t="shared" si="10"/>
        <v>0.79399228739598138</v>
      </c>
      <c r="H40" s="12">
        <f t="shared" si="10"/>
        <v>0.20600771260401868</v>
      </c>
    </row>
    <row r="41" spans="1:8" x14ac:dyDescent="0.2">
      <c r="A41" s="4" t="s">
        <v>8</v>
      </c>
      <c r="B41" s="7">
        <f>+VLOOKUP($A41,forecasts!$I$3:$T$12,'1 (9)'!$B$1+1)</f>
        <v>7756</v>
      </c>
      <c r="C41" s="7">
        <f t="shared" si="7"/>
        <v>5126.8746126833294</v>
      </c>
      <c r="D41" s="11">
        <f t="shared" si="8"/>
        <v>0.66102045032018175</v>
      </c>
      <c r="E41" s="7">
        <f t="shared" si="9"/>
        <v>3814.7151414996897</v>
      </c>
      <c r="F41" s="7">
        <f t="shared" si="9"/>
        <v>1312.1594711836394</v>
      </c>
      <c r="G41" s="12">
        <f t="shared" si="10"/>
        <v>0.74406249999999996</v>
      </c>
      <c r="H41" s="12">
        <f t="shared" si="10"/>
        <v>0.25593749999999998</v>
      </c>
    </row>
    <row r="42" spans="1:8" x14ac:dyDescent="0.2">
      <c r="A42" s="4" t="s">
        <v>70</v>
      </c>
      <c r="B42" s="7">
        <f>+VLOOKUP($A42,forecasts!$I$3:$T$12,'1 (9)'!$B$1+1)</f>
        <v>2543</v>
      </c>
      <c r="C42" s="7">
        <f t="shared" si="7"/>
        <v>1601.6615460852329</v>
      </c>
      <c r="D42" s="11">
        <f t="shared" si="8"/>
        <v>0.62983151635282453</v>
      </c>
      <c r="E42" s="7">
        <f t="shared" si="9"/>
        <v>969.06194251734382</v>
      </c>
      <c r="F42" s="7">
        <f t="shared" si="9"/>
        <v>632.59960356788895</v>
      </c>
      <c r="G42" s="12">
        <f t="shared" si="10"/>
        <v>0.60503540519276156</v>
      </c>
      <c r="H42" s="12">
        <f t="shared" si="10"/>
        <v>0.39496459480723839</v>
      </c>
    </row>
    <row r="43" spans="1:8" x14ac:dyDescent="0.2">
      <c r="A43" s="4" t="s">
        <v>10</v>
      </c>
      <c r="B43" s="7">
        <f>SUM(B34:B42)</f>
        <v>131197</v>
      </c>
      <c r="C43" s="7">
        <f>SUM(C34:C42)</f>
        <v>53469.84814915368</v>
      </c>
      <c r="D43" s="13">
        <f>+C43/B43</f>
        <v>0.40755389337525766</v>
      </c>
      <c r="E43" s="7">
        <f>SUM(E34:E42)</f>
        <v>36047.670065596896</v>
      </c>
      <c r="F43" s="7">
        <f>SUM(F34:F42)</f>
        <v>17422.178083556777</v>
      </c>
      <c r="G43" s="14">
        <f>+E43/$C43</f>
        <v>0.67416817726959377</v>
      </c>
      <c r="H43" s="14">
        <f>+F43/$C43</f>
        <v>0.32583182273040612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8416.2397813230709</v>
      </c>
    </row>
    <row r="47" spans="1:8" x14ac:dyDescent="0.2">
      <c r="A47" s="4" t="s">
        <v>20</v>
      </c>
      <c r="B47" s="7">
        <f>+B18*(SUM(B35:B39)/SUM(B6:B10))</f>
        <v>7744.5752619970053</v>
      </c>
      <c r="D47" t="s">
        <v>30</v>
      </c>
    </row>
    <row r="48" spans="1:8" x14ac:dyDescent="0.2">
      <c r="A48" s="4" t="s">
        <v>21</v>
      </c>
      <c r="B48" s="7">
        <f>+B19*(B42/B13)</f>
        <v>671.66451932606549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122780.76021867694</v>
      </c>
      <c r="C51" s="7">
        <f>+C43-C46</f>
        <v>53469.84814915368</v>
      </c>
      <c r="D51" s="8" t="s">
        <v>18</v>
      </c>
      <c r="E51" s="7">
        <f>+E43-E46</f>
        <v>36047.670065596896</v>
      </c>
      <c r="F51" s="7">
        <f>+F43-F46</f>
        <v>17422.178083556777</v>
      </c>
      <c r="G51" s="14">
        <f t="shared" ref="G51:H53" si="11">+E51/$C51</f>
        <v>0.67416817726959377</v>
      </c>
      <c r="H51" s="14">
        <f t="shared" si="11"/>
        <v>0.32583182273040612</v>
      </c>
    </row>
    <row r="52" spans="1:8" x14ac:dyDescent="0.2">
      <c r="A52" s="4" t="s">
        <v>20</v>
      </c>
      <c r="B52" s="7">
        <f>SUM(B34:B39)-B47</f>
        <v>97917.424738002999</v>
      </c>
      <c r="C52" s="7">
        <f>SUM(C34:C39)-C47</f>
        <v>37099.93361894921</v>
      </c>
      <c r="D52" s="8" t="s">
        <v>18</v>
      </c>
      <c r="E52" s="7">
        <f>SUM(E34:E39)-E47</f>
        <v>23608.712914793326</v>
      </c>
      <c r="F52" s="7">
        <f>SUM(F34:F39)-F47</f>
        <v>13491.22070415588</v>
      </c>
      <c r="G52" s="14">
        <f t="shared" si="11"/>
        <v>0.63635458643340836</v>
      </c>
      <c r="H52" s="14">
        <f t="shared" si="11"/>
        <v>0.36364541356659158</v>
      </c>
    </row>
    <row r="53" spans="1:8" x14ac:dyDescent="0.2">
      <c r="A53" s="4" t="s">
        <v>21</v>
      </c>
      <c r="B53" s="7">
        <f>+SUM(B40:B42)-B48</f>
        <v>24863.335480673933</v>
      </c>
      <c r="C53" s="7">
        <f>+SUM(C40:C42)-C48</f>
        <v>16369.914530204474</v>
      </c>
      <c r="D53" s="8" t="s">
        <v>18</v>
      </c>
      <c r="E53" s="7">
        <f>+SUM(E40:E42)-E48</f>
        <v>12438.957150803575</v>
      </c>
      <c r="F53" s="7">
        <f>+SUM(F40:F42)-F48</f>
        <v>3930.9573794008993</v>
      </c>
      <c r="G53" s="14">
        <f t="shared" si="11"/>
        <v>0.75986695763451872</v>
      </c>
      <c r="H53" s="14">
        <f t="shared" si="11"/>
        <v>0.24013304236548133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2.2962616216186187</v>
      </c>
      <c r="D56" s="1"/>
      <c r="E56" t="s">
        <v>27</v>
      </c>
    </row>
    <row r="57" spans="1:8" x14ac:dyDescent="0.2">
      <c r="A57" s="4" t="s">
        <v>20</v>
      </c>
      <c r="B57" s="16">
        <f>+B52/C52</f>
        <v>2.6392884079984058</v>
      </c>
      <c r="D57" s="2"/>
      <c r="E57" t="s">
        <v>28</v>
      </c>
    </row>
    <row r="58" spans="1:8" x14ac:dyDescent="0.2">
      <c r="A58" s="4" t="s">
        <v>21</v>
      </c>
      <c r="B58" s="16">
        <f>+B53/C53</f>
        <v>1.5188433290105499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8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10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(10)'!B1+1)</f>
        <v>Sullivan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(10)'!$B$1+1)</f>
        <v>7534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(10)'!$B$1+1)</f>
        <v>4677</v>
      </c>
      <c r="C6" s="7">
        <f t="shared" ref="C6:C13" si="0">+E6+F6</f>
        <v>604</v>
      </c>
      <c r="D6" s="11">
        <f t="shared" ref="D6:D14" si="1">+C6/B6</f>
        <v>0.12914261278597391</v>
      </c>
      <c r="E6" s="7">
        <f>+VLOOKUP($A6,DataSets!$A$41:$L$49,'1 (10)'!$B$1+1)</f>
        <v>102</v>
      </c>
      <c r="F6" s="7">
        <f>+VLOOKUP($A6,DataSets!$A$65:$L$73,'1 (10)'!$B$1+1)</f>
        <v>502</v>
      </c>
      <c r="G6" s="12">
        <f t="shared" ref="G6:G14" si="2">+E6/$C6</f>
        <v>0.16887417218543047</v>
      </c>
      <c r="H6" s="12">
        <f t="shared" ref="H6:H14" si="3">+F6/$C6</f>
        <v>0.83112582781456956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(10)'!$B$1+1)</f>
        <v>4527</v>
      </c>
      <c r="C7" s="7">
        <f t="shared" si="0"/>
        <v>2011</v>
      </c>
      <c r="D7" s="11">
        <f t="shared" si="1"/>
        <v>0.44422354760326926</v>
      </c>
      <c r="E7" s="7">
        <f>+VLOOKUP($A7,DataSets!$A$41:$L$49,'1 (10)'!$B$1+1)</f>
        <v>1004</v>
      </c>
      <c r="F7" s="7">
        <f>+VLOOKUP($A7,DataSets!$A$65:$L$73,'1 (10)'!$B$1+1)</f>
        <v>1007</v>
      </c>
      <c r="G7" s="12">
        <f t="shared" si="2"/>
        <v>0.49925410243659873</v>
      </c>
      <c r="H7" s="12">
        <f t="shared" si="3"/>
        <v>0.50074589756340127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(10)'!$B$1+1)</f>
        <v>5784</v>
      </c>
      <c r="C8" s="7">
        <f t="shared" si="0"/>
        <v>3028</v>
      </c>
      <c r="D8" s="11">
        <f t="shared" si="1"/>
        <v>0.52351313969571234</v>
      </c>
      <c r="E8" s="7">
        <f>+VLOOKUP($A8,DataSets!$A$41:$L$49,'1 (10)'!$B$1+1)</f>
        <v>2122</v>
      </c>
      <c r="F8" s="7">
        <f>+VLOOKUP($A8,DataSets!$A$65:$L$73,'1 (10)'!$B$1+1)</f>
        <v>906</v>
      </c>
      <c r="G8" s="12">
        <f t="shared" si="2"/>
        <v>0.70079260237780716</v>
      </c>
      <c r="H8" s="12">
        <f t="shared" si="3"/>
        <v>0.29920739762219284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(10)'!$B$1+1)</f>
        <v>7347</v>
      </c>
      <c r="C9" s="7">
        <f t="shared" si="0"/>
        <v>4097</v>
      </c>
      <c r="D9" s="11">
        <f t="shared" si="1"/>
        <v>0.55764257520076221</v>
      </c>
      <c r="E9" s="7">
        <f>+VLOOKUP($A9,DataSets!$A$41:$L$49,'1 (10)'!$B$1+1)</f>
        <v>3147</v>
      </c>
      <c r="F9" s="7">
        <f>+VLOOKUP($A9,DataSets!$A$65:$L$73,'1 (10)'!$B$1+1)</f>
        <v>950</v>
      </c>
      <c r="G9" s="12">
        <f t="shared" si="2"/>
        <v>0.76812301684159145</v>
      </c>
      <c r="H9" s="12">
        <f t="shared" si="3"/>
        <v>0.2318769831584086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(10)'!$B$1+1)</f>
        <v>6656</v>
      </c>
      <c r="C10" s="7">
        <f t="shared" si="0"/>
        <v>3889</v>
      </c>
      <c r="D10" s="11">
        <f t="shared" si="1"/>
        <v>0.58428485576923073</v>
      </c>
      <c r="E10" s="7">
        <f>+VLOOKUP($A10,DataSets!$A$41:$L$49,'1 (10)'!$B$1+1)</f>
        <v>3184</v>
      </c>
      <c r="F10" s="7">
        <f>+VLOOKUP($A10,DataSets!$A$65:$L$73,'1 (10)'!$B$1+1)</f>
        <v>705</v>
      </c>
      <c r="G10" s="12">
        <f t="shared" si="2"/>
        <v>0.81871946515813832</v>
      </c>
      <c r="H10" s="12">
        <f t="shared" si="3"/>
        <v>0.18128053484186166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(10)'!$B$1+1)</f>
        <v>3971</v>
      </c>
      <c r="C11" s="7">
        <f t="shared" si="0"/>
        <v>2467</v>
      </c>
      <c r="D11" s="11">
        <f t="shared" si="1"/>
        <v>0.62125409216821958</v>
      </c>
      <c r="E11" s="7">
        <f>+VLOOKUP($A11,DataSets!$A$41:$L$49,'1 (10)'!$B$1+1)</f>
        <v>2041</v>
      </c>
      <c r="F11" s="7">
        <f>+VLOOKUP($A11,DataSets!$A$65:$L$73,'1 (10)'!$B$1+1)</f>
        <v>426</v>
      </c>
      <c r="G11" s="12">
        <f t="shared" si="2"/>
        <v>0.82732063234698017</v>
      </c>
      <c r="H11" s="12">
        <f t="shared" si="3"/>
        <v>0.17267936765301986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(10)'!$B$1+1)</f>
        <v>2292</v>
      </c>
      <c r="C12" s="7">
        <f t="shared" si="0"/>
        <v>1467</v>
      </c>
      <c r="D12" s="11">
        <f t="shared" si="1"/>
        <v>0.64005235602094246</v>
      </c>
      <c r="E12" s="7">
        <f>+VLOOKUP($A12,DataSets!$A$41:$L$49,'1 (10)'!$B$1+1)</f>
        <v>1145</v>
      </c>
      <c r="F12" s="7">
        <f>+VLOOKUP($A12,DataSets!$A$65:$L$73,'1 (10)'!$B$1+1)</f>
        <v>322</v>
      </c>
      <c r="G12" s="12">
        <f t="shared" si="2"/>
        <v>0.78050443081117926</v>
      </c>
      <c r="H12" s="12">
        <f t="shared" si="3"/>
        <v>0.21949556918882071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(10)'!$B$1+1)</f>
        <v>954</v>
      </c>
      <c r="C13" s="7">
        <f t="shared" si="0"/>
        <v>563</v>
      </c>
      <c r="D13" s="11">
        <f t="shared" si="1"/>
        <v>0.59014675052410903</v>
      </c>
      <c r="E13" s="7">
        <f>+VLOOKUP($A13,DataSets!$A$41:$L$49,'1 (10)'!$B$1+1)</f>
        <v>376</v>
      </c>
      <c r="F13" s="7">
        <f>+VLOOKUP($A13,DataSets!$A$65:$L$73,'1 (10)'!$B$1+1)</f>
        <v>187</v>
      </c>
      <c r="G13" s="12">
        <f t="shared" si="2"/>
        <v>0.6678507992895204</v>
      </c>
      <c r="H13" s="12">
        <f t="shared" si="3"/>
        <v>0.3321492007104796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43742</v>
      </c>
      <c r="C14" s="7">
        <f>SUM(C5:C13)</f>
        <v>18126</v>
      </c>
      <c r="D14" s="13">
        <f t="shared" si="1"/>
        <v>0.41438434456586348</v>
      </c>
      <c r="E14" s="7">
        <f>SUM(E5:E13)</f>
        <v>13121</v>
      </c>
      <c r="F14" s="7">
        <f>SUM(F5:F13)</f>
        <v>5005</v>
      </c>
      <c r="G14" s="14">
        <f t="shared" si="2"/>
        <v>0.72387730332119604</v>
      </c>
      <c r="H14" s="14">
        <f t="shared" si="3"/>
        <v>0.2761226966788039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(10)'!$B$1+1)</f>
        <v>701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(10)'!$B$1+1)</f>
        <v>314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387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Sullivan County, New Hampshire</v>
      </c>
    </row>
    <row r="22" spans="1:18" x14ac:dyDescent="0.2">
      <c r="A22" s="4" t="s">
        <v>10</v>
      </c>
      <c r="B22" s="7">
        <f>+B14-B17</f>
        <v>43041</v>
      </c>
      <c r="C22" s="7">
        <f>+C14-C17</f>
        <v>18126</v>
      </c>
      <c r="D22" s="8" t="s">
        <v>18</v>
      </c>
      <c r="E22" s="7">
        <f>+E14-E17</f>
        <v>13121</v>
      </c>
      <c r="F22" s="7">
        <f>+F14-F17</f>
        <v>5005</v>
      </c>
      <c r="G22" s="14">
        <f t="shared" ref="G22:H24" si="6">+E22/$C22</f>
        <v>0.72387730332119604</v>
      </c>
      <c r="H22" s="14">
        <f t="shared" si="6"/>
        <v>0.2761226966788039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36211</v>
      </c>
      <c r="C23" s="7">
        <f>SUM(C5:C10)-C18</f>
        <v>13629</v>
      </c>
      <c r="D23" s="8" t="s">
        <v>18</v>
      </c>
      <c r="E23" s="7">
        <f>SUM(E5:E10)-E18</f>
        <v>9559</v>
      </c>
      <c r="F23" s="7">
        <f>SUM(F5:F10)-F18</f>
        <v>4070</v>
      </c>
      <c r="G23" s="14">
        <f t="shared" si="6"/>
        <v>0.70137207425343018</v>
      </c>
      <c r="H23" s="14">
        <f t="shared" si="6"/>
        <v>0.29862792574656982</v>
      </c>
      <c r="L23" t="s">
        <v>10</v>
      </c>
      <c r="M23" s="17">
        <f>SUM(M24:M27)</f>
        <v>18126</v>
      </c>
      <c r="N23" s="19">
        <f>+M23/M$23</f>
        <v>1</v>
      </c>
      <c r="O23" s="17">
        <f>SUM(O24:O27)</f>
        <v>20850.284230005265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6830</v>
      </c>
      <c r="C24" s="7">
        <f>+SUM(C11:C13)-C19</f>
        <v>4497</v>
      </c>
      <c r="D24" s="8" t="s">
        <v>18</v>
      </c>
      <c r="E24" s="7">
        <f>+SUM(E11:E13)-E19</f>
        <v>3562</v>
      </c>
      <c r="F24" s="7">
        <f>+SUM(F11:F13)-F19</f>
        <v>935</v>
      </c>
      <c r="G24" s="14">
        <f t="shared" si="6"/>
        <v>0.7920836112964198</v>
      </c>
      <c r="H24" s="14">
        <f t="shared" si="6"/>
        <v>0.20791638870358017</v>
      </c>
      <c r="L24" t="s">
        <v>88</v>
      </c>
      <c r="M24" s="17">
        <f>+SUM(E6:F6)</f>
        <v>604</v>
      </c>
      <c r="N24" s="19">
        <f>+M24/M$23</f>
        <v>3.3322299459340177E-2</v>
      </c>
      <c r="O24" s="17">
        <f>+SUM(E35:F35)</f>
        <v>546.14410947188367</v>
      </c>
      <c r="P24" s="19">
        <f>+O24/O$23</f>
        <v>2.6193605010234711E-2</v>
      </c>
      <c r="R24" s="19">
        <f>+P24-N24</f>
        <v>-7.128694449105466E-3</v>
      </c>
    </row>
    <row r="25" spans="1:18" x14ac:dyDescent="0.2">
      <c r="L25" t="s">
        <v>89</v>
      </c>
      <c r="M25" s="17">
        <f>SUM(E7:F8)</f>
        <v>5039</v>
      </c>
      <c r="N25" s="19">
        <f>+M25/M$23</f>
        <v>0.27799845525764094</v>
      </c>
      <c r="O25" s="17">
        <f>+SUM(E36:F37)</f>
        <v>5064.4162933876687</v>
      </c>
      <c r="P25" s="19">
        <f>+O25/O$23</f>
        <v>0.24289435278294955</v>
      </c>
      <c r="R25" s="19">
        <f>+P25-N25</f>
        <v>-3.5104102474691395E-2</v>
      </c>
    </row>
    <row r="26" spans="1:18" x14ac:dyDescent="0.2">
      <c r="A26" s="3" t="s">
        <v>26</v>
      </c>
      <c r="L26" t="s">
        <v>90</v>
      </c>
      <c r="M26" s="17">
        <f>+SUM(E9:F10)</f>
        <v>7986</v>
      </c>
      <c r="N26" s="19">
        <f>+M26/M$23</f>
        <v>0.44058258854683879</v>
      </c>
      <c r="O26" s="17">
        <f>+SUM(E38:F39)</f>
        <v>7460.3601100879414</v>
      </c>
      <c r="P26" s="19">
        <f>+O26/O$23</f>
        <v>0.35780615879335942</v>
      </c>
      <c r="R26" s="19">
        <f>+P26-N26</f>
        <v>-8.2776429753479375E-2</v>
      </c>
    </row>
    <row r="27" spans="1:18" x14ac:dyDescent="0.2">
      <c r="A27" s="4" t="s">
        <v>10</v>
      </c>
      <c r="B27" s="16">
        <f>+B22/C22</f>
        <v>2.3745448526977824</v>
      </c>
      <c r="D27" s="1"/>
      <c r="E27" t="s">
        <v>27</v>
      </c>
      <c r="L27" t="s">
        <v>91</v>
      </c>
      <c r="M27" s="17">
        <f>+SUM(E11:F13)</f>
        <v>4497</v>
      </c>
      <c r="N27" s="19">
        <f>+M27/M$23</f>
        <v>0.24809665673618006</v>
      </c>
      <c r="O27" s="17">
        <f>+SUM(E40:F42)</f>
        <v>7779.3637170577704</v>
      </c>
      <c r="P27" s="19">
        <f>+O27/O$23</f>
        <v>0.3731058834134563</v>
      </c>
      <c r="R27" s="19">
        <f>+P27-N27</f>
        <v>0.12500922667727624</v>
      </c>
    </row>
    <row r="28" spans="1:18" x14ac:dyDescent="0.2">
      <c r="A28" s="4" t="s">
        <v>20</v>
      </c>
      <c r="B28" s="16">
        <f>+B23/C23</f>
        <v>2.6569080636877249</v>
      </c>
      <c r="D28" s="2"/>
      <c r="E28" t="s">
        <v>28</v>
      </c>
    </row>
    <row r="29" spans="1:18" x14ac:dyDescent="0.2">
      <c r="A29" s="4" t="s">
        <v>21</v>
      </c>
      <c r="B29" s="16">
        <f>+B24/C24</f>
        <v>1.5187903046475428</v>
      </c>
      <c r="M29" s="17">
        <f>+E14+F14</f>
        <v>18126</v>
      </c>
      <c r="O29" s="17">
        <f>+E43+F43</f>
        <v>20850.284230005265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(10)'!D1+1)</f>
        <v>2025</v>
      </c>
      <c r="C32" s="20" t="str">
        <f>+C3</f>
        <v>County:</v>
      </c>
      <c r="D32" s="23" t="str">
        <f>+D3</f>
        <v>Sullivan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(10)'!$B$1+1)</f>
        <v>6549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(10)'!$B$1+1)</f>
        <v>4229</v>
      </c>
      <c r="C35" s="7">
        <f t="shared" ref="C35:C42" si="7">+B35*D35</f>
        <v>546.14410947188367</v>
      </c>
      <c r="D35" s="11">
        <f t="shared" ref="D35:D42" si="8">+D6</f>
        <v>0.12914261278597391</v>
      </c>
      <c r="E35" s="7">
        <f t="shared" ref="E35:F42" si="9">+G35*$C35</f>
        <v>92.229634381013469</v>
      </c>
      <c r="F35" s="7">
        <f t="shared" si="9"/>
        <v>453.91447509087021</v>
      </c>
      <c r="G35" s="12">
        <f t="shared" ref="G35:H42" si="10">+G6</f>
        <v>0.16887417218543047</v>
      </c>
      <c r="H35" s="12">
        <f t="shared" si="10"/>
        <v>0.83112582781456956</v>
      </c>
    </row>
    <row r="36" spans="1:8" x14ac:dyDescent="0.2">
      <c r="A36" s="4" t="s">
        <v>3</v>
      </c>
      <c r="B36" s="7">
        <f>+VLOOKUP($A36,forecasts!$I$3:$T$12,'1 (10)'!$B$1+1)</f>
        <v>4596</v>
      </c>
      <c r="C36" s="7">
        <f t="shared" si="7"/>
        <v>2041.6514247846255</v>
      </c>
      <c r="D36" s="11">
        <f t="shared" si="8"/>
        <v>0.44422354760326926</v>
      </c>
      <c r="E36" s="7">
        <f t="shared" si="9"/>
        <v>1019.3028495692512</v>
      </c>
      <c r="F36" s="7">
        <f t="shared" si="9"/>
        <v>1022.3485752153744</v>
      </c>
      <c r="G36" s="12">
        <f t="shared" si="10"/>
        <v>0.49925410243659873</v>
      </c>
      <c r="H36" s="12">
        <f t="shared" si="10"/>
        <v>0.50074589756340127</v>
      </c>
    </row>
    <row r="37" spans="1:8" x14ac:dyDescent="0.2">
      <c r="A37" s="4" t="s">
        <v>4</v>
      </c>
      <c r="B37" s="7">
        <f>+VLOOKUP($A37,forecasts!$I$3:$T$12,'1 (10)'!$B$1+1)</f>
        <v>5774</v>
      </c>
      <c r="C37" s="7">
        <f t="shared" si="7"/>
        <v>3022.7648686030429</v>
      </c>
      <c r="D37" s="11">
        <f t="shared" si="8"/>
        <v>0.52351313969571234</v>
      </c>
      <c r="E37" s="7">
        <f t="shared" si="9"/>
        <v>2118.3312586445368</v>
      </c>
      <c r="F37" s="7">
        <f t="shared" si="9"/>
        <v>904.43360995850617</v>
      </c>
      <c r="G37" s="12">
        <f t="shared" si="10"/>
        <v>0.70079260237780716</v>
      </c>
      <c r="H37" s="12">
        <f t="shared" si="10"/>
        <v>0.29920739762219284</v>
      </c>
    </row>
    <row r="38" spans="1:8" x14ac:dyDescent="0.2">
      <c r="A38" s="4" t="s">
        <v>5</v>
      </c>
      <c r="B38" s="7">
        <f>+VLOOKUP($A38,forecasts!$I$3:$T$12,'1 (10)'!$B$1+1)</f>
        <v>5716</v>
      </c>
      <c r="C38" s="7">
        <f t="shared" si="7"/>
        <v>3187.4849598475566</v>
      </c>
      <c r="D38" s="11">
        <f t="shared" si="8"/>
        <v>0.55764257520076221</v>
      </c>
      <c r="E38" s="7">
        <f t="shared" si="9"/>
        <v>2448.3805634953042</v>
      </c>
      <c r="F38" s="7">
        <f t="shared" si="9"/>
        <v>739.10439635225259</v>
      </c>
      <c r="G38" s="12">
        <f t="shared" si="10"/>
        <v>0.76812301684159145</v>
      </c>
      <c r="H38" s="12">
        <f t="shared" si="10"/>
        <v>0.2318769831584086</v>
      </c>
    </row>
    <row r="39" spans="1:8" x14ac:dyDescent="0.2">
      <c r="A39" s="4" t="s">
        <v>6</v>
      </c>
      <c r="B39" s="7">
        <f>+VLOOKUP($A39,forecasts!$I$3:$T$12,'1 (10)'!$B$1+1)</f>
        <v>7313</v>
      </c>
      <c r="C39" s="7">
        <f t="shared" si="7"/>
        <v>4272.8751502403848</v>
      </c>
      <c r="D39" s="11">
        <f t="shared" si="8"/>
        <v>0.58428485576923073</v>
      </c>
      <c r="E39" s="7">
        <f t="shared" si="9"/>
        <v>3498.2860576923076</v>
      </c>
      <c r="F39" s="7">
        <f t="shared" si="9"/>
        <v>774.58909254807691</v>
      </c>
      <c r="G39" s="12">
        <f t="shared" si="10"/>
        <v>0.81871946515813832</v>
      </c>
      <c r="H39" s="12">
        <f t="shared" si="10"/>
        <v>0.18128053484186166</v>
      </c>
    </row>
    <row r="40" spans="1:8" x14ac:dyDescent="0.2">
      <c r="A40" s="4" t="s">
        <v>7</v>
      </c>
      <c r="B40" s="7">
        <f>+VLOOKUP($A40,forecasts!$I$3:$T$12,'1 (10)'!$B$1+1)</f>
        <v>7250</v>
      </c>
      <c r="C40" s="7">
        <f t="shared" si="7"/>
        <v>4504.0921682195922</v>
      </c>
      <c r="D40" s="11">
        <f t="shared" si="8"/>
        <v>0.62125409216821958</v>
      </c>
      <c r="E40" s="7">
        <f t="shared" si="9"/>
        <v>3726.3283807605139</v>
      </c>
      <c r="F40" s="7">
        <f t="shared" si="9"/>
        <v>777.76378745907834</v>
      </c>
      <c r="G40" s="12">
        <f t="shared" si="10"/>
        <v>0.82732063234698017</v>
      </c>
      <c r="H40" s="12">
        <f t="shared" si="10"/>
        <v>0.17267936765301986</v>
      </c>
    </row>
    <row r="41" spans="1:8" x14ac:dyDescent="0.2">
      <c r="A41" s="4" t="s">
        <v>8</v>
      </c>
      <c r="B41" s="7">
        <f>+VLOOKUP($A41,forecasts!$I$3:$T$12,'1 (10)'!$B$1+1)</f>
        <v>3866</v>
      </c>
      <c r="C41" s="7">
        <f t="shared" si="7"/>
        <v>2474.4424083769636</v>
      </c>
      <c r="D41" s="11">
        <f t="shared" si="8"/>
        <v>0.64005235602094246</v>
      </c>
      <c r="E41" s="7">
        <f t="shared" si="9"/>
        <v>1931.3132635253055</v>
      </c>
      <c r="F41" s="7">
        <f t="shared" si="9"/>
        <v>543.129144851658</v>
      </c>
      <c r="G41" s="12">
        <f t="shared" si="10"/>
        <v>0.78050443081117926</v>
      </c>
      <c r="H41" s="12">
        <f t="shared" si="10"/>
        <v>0.21949556918882071</v>
      </c>
    </row>
    <row r="42" spans="1:8" x14ac:dyDescent="0.2">
      <c r="A42" s="4" t="s">
        <v>70</v>
      </c>
      <c r="B42" s="7">
        <f>+VLOOKUP($A42,forecasts!$I$3:$T$12,'1 (10)'!$B$1+1)</f>
        <v>1357</v>
      </c>
      <c r="C42" s="7">
        <f t="shared" si="7"/>
        <v>800.82914046121596</v>
      </c>
      <c r="D42" s="11">
        <f t="shared" si="8"/>
        <v>0.59014675052410903</v>
      </c>
      <c r="E42" s="7">
        <f t="shared" si="9"/>
        <v>534.83438155136264</v>
      </c>
      <c r="F42" s="7">
        <f t="shared" si="9"/>
        <v>265.99475890985326</v>
      </c>
      <c r="G42" s="12">
        <f t="shared" si="10"/>
        <v>0.6678507992895204</v>
      </c>
      <c r="H42" s="12">
        <f t="shared" si="10"/>
        <v>0.3321492007104796</v>
      </c>
    </row>
    <row r="43" spans="1:8" x14ac:dyDescent="0.2">
      <c r="A43" s="4" t="s">
        <v>10</v>
      </c>
      <c r="B43" s="7">
        <f>SUM(B34:B42)</f>
        <v>46650</v>
      </c>
      <c r="C43" s="7">
        <f>SUM(C34:C42)</f>
        <v>20850.284230005265</v>
      </c>
      <c r="D43" s="13">
        <f>+C43/B43</f>
        <v>0.44695143043955554</v>
      </c>
      <c r="E43" s="7">
        <f>SUM(E34:E42)</f>
        <v>15369.006389619597</v>
      </c>
      <c r="F43" s="7">
        <f>SUM(F34:F42)</f>
        <v>5481.2778403856692</v>
      </c>
      <c r="G43" s="14">
        <f>+E43/$C43</f>
        <v>0.73711256019725324</v>
      </c>
      <c r="H43" s="14">
        <f>+F43/$C43</f>
        <v>0.26288743980274676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849.71855058466417</v>
      </c>
    </row>
    <row r="47" spans="1:8" x14ac:dyDescent="0.2">
      <c r="A47" s="4" t="s">
        <v>20</v>
      </c>
      <c r="B47" s="7">
        <f>+B18*(SUM(B35:B39)/SUM(B6:B10))</f>
        <v>299.23741850919248</v>
      </c>
      <c r="D47" t="s">
        <v>30</v>
      </c>
    </row>
    <row r="48" spans="1:8" x14ac:dyDescent="0.2">
      <c r="A48" s="4" t="s">
        <v>21</v>
      </c>
      <c r="B48" s="7">
        <f>+B19*(B42/B13)</f>
        <v>550.48113207547169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45800.281449415335</v>
      </c>
      <c r="C51" s="7">
        <f>+C43-C46</f>
        <v>20850.284230005265</v>
      </c>
      <c r="D51" s="8" t="s">
        <v>18</v>
      </c>
      <c r="E51" s="7">
        <f>+E43-E46</f>
        <v>15369.006389619597</v>
      </c>
      <c r="F51" s="7">
        <f>+F43-F46</f>
        <v>5481.2778403856692</v>
      </c>
      <c r="G51" s="14">
        <f t="shared" ref="G51:H53" si="11">+E51/$C51</f>
        <v>0.73711256019725324</v>
      </c>
      <c r="H51" s="14">
        <f t="shared" si="11"/>
        <v>0.26288743980274676</v>
      </c>
    </row>
    <row r="52" spans="1:8" x14ac:dyDescent="0.2">
      <c r="A52" s="4" t="s">
        <v>20</v>
      </c>
      <c r="B52" s="7">
        <f>SUM(B34:B39)-B47</f>
        <v>33877.76258149081</v>
      </c>
      <c r="C52" s="7">
        <f>SUM(C34:C39)-C47</f>
        <v>13070.920512947492</v>
      </c>
      <c r="D52" s="8" t="s">
        <v>18</v>
      </c>
      <c r="E52" s="7">
        <f>SUM(E34:E39)-E47</f>
        <v>9176.5303637824145</v>
      </c>
      <c r="F52" s="7">
        <f>SUM(F34:F39)-F47</f>
        <v>3894.3901491650804</v>
      </c>
      <c r="G52" s="14">
        <f t="shared" si="11"/>
        <v>0.70205693276862469</v>
      </c>
      <c r="H52" s="14">
        <f t="shared" si="11"/>
        <v>0.29794306723137554</v>
      </c>
    </row>
    <row r="53" spans="1:8" x14ac:dyDescent="0.2">
      <c r="A53" s="4" t="s">
        <v>21</v>
      </c>
      <c r="B53" s="7">
        <f>+SUM(B40:B42)-B48</f>
        <v>11922.518867924528</v>
      </c>
      <c r="C53" s="7">
        <f>+SUM(C40:C42)-C48</f>
        <v>7779.3637170577713</v>
      </c>
      <c r="D53" s="8" t="s">
        <v>18</v>
      </c>
      <c r="E53" s="7">
        <f>+SUM(E40:E42)-E48</f>
        <v>6192.4760258371816</v>
      </c>
      <c r="F53" s="7">
        <f>+SUM(F40:F42)-F48</f>
        <v>1586.8876912205897</v>
      </c>
      <c r="G53" s="14">
        <f t="shared" si="11"/>
        <v>0.79601317679220618</v>
      </c>
      <c r="H53" s="14">
        <f t="shared" si="11"/>
        <v>0.20398682320779385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2.1966262399197887</v>
      </c>
      <c r="D56" s="1"/>
      <c r="E56" t="s">
        <v>27</v>
      </c>
    </row>
    <row r="57" spans="1:8" x14ac:dyDescent="0.2">
      <c r="A57" s="4" t="s">
        <v>20</v>
      </c>
      <c r="B57" s="16">
        <f>+B52/C52</f>
        <v>2.5918421390393243</v>
      </c>
      <c r="D57" s="2"/>
      <c r="E57" t="s">
        <v>28</v>
      </c>
    </row>
    <row r="58" spans="1:8" x14ac:dyDescent="0.2">
      <c r="A58" s="4" t="s">
        <v>21</v>
      </c>
      <c r="B58" s="16">
        <f>+B53/C53</f>
        <v>1.5325827794607523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P39" sqref="P39"/>
    </sheetView>
  </sheetViews>
  <sheetFormatPr defaultRowHeight="12.75" x14ac:dyDescent="0.2"/>
  <cols>
    <col min="1" max="1" width="21" bestFit="1" customWidth="1"/>
    <col min="2" max="3" width="10.140625" customWidth="1"/>
    <col min="4" max="4" width="10.5703125" customWidth="1"/>
    <col min="5" max="5" width="10.140625" customWidth="1"/>
    <col min="6" max="6" width="11" customWidth="1"/>
    <col min="7" max="7" width="11.28515625" customWidth="1"/>
    <col min="8" max="8" width="10.5703125" customWidth="1"/>
    <col min="9" max="9" width="11.28515625" customWidth="1"/>
    <col min="10" max="11" width="10.42578125" customWidth="1"/>
    <col min="12" max="12" width="10.140625" customWidth="1"/>
  </cols>
  <sheetData>
    <row r="1" spans="1:12" ht="51" x14ac:dyDescent="0.2">
      <c r="A1" s="3" t="s">
        <v>65</v>
      </c>
      <c r="B1" s="27" t="s">
        <v>41</v>
      </c>
      <c r="C1" s="27" t="s">
        <v>42</v>
      </c>
      <c r="D1" s="27" t="s">
        <v>43</v>
      </c>
      <c r="E1" s="27" t="s">
        <v>44</v>
      </c>
      <c r="F1" s="27" t="s">
        <v>45</v>
      </c>
      <c r="G1" s="27" t="s">
        <v>46</v>
      </c>
      <c r="H1" s="27" t="s">
        <v>47</v>
      </c>
      <c r="I1" s="27" t="s">
        <v>48</v>
      </c>
      <c r="J1" s="27" t="s">
        <v>49</v>
      </c>
      <c r="K1" s="27" t="s">
        <v>50</v>
      </c>
      <c r="L1" s="27" t="s">
        <v>75</v>
      </c>
    </row>
    <row r="2" spans="1:12" x14ac:dyDescent="0.2">
      <c r="A2" s="4" t="s">
        <v>24</v>
      </c>
      <c r="B2" s="7">
        <f>+'1'!E22</f>
        <v>18523</v>
      </c>
      <c r="C2" s="7">
        <f>+'1 (2)'!E22</f>
        <v>16665</v>
      </c>
      <c r="D2" s="7">
        <f>+'1 (3)'!E22</f>
        <v>21148</v>
      </c>
      <c r="E2" s="7">
        <f>+'1 (4)'!E22</f>
        <v>10071</v>
      </c>
      <c r="F2" s="7">
        <f>+'1 (5)'!E22</f>
        <v>24544</v>
      </c>
      <c r="G2" s="7">
        <f>+'1 (6)'!E22</f>
        <v>103951</v>
      </c>
      <c r="H2" s="7">
        <f>+'1 (7)'!E22</f>
        <v>40686</v>
      </c>
      <c r="I2" s="7">
        <f>+'1 (8)'!E22</f>
        <v>88365</v>
      </c>
      <c r="J2" s="7">
        <f>+'1 (9)'!E22</f>
        <v>31242</v>
      </c>
      <c r="K2" s="7">
        <f>+'1 (10)'!E22</f>
        <v>13121</v>
      </c>
      <c r="L2" s="7">
        <f t="shared" ref="L2:L7" si="0">+SUM(B2:K2)</f>
        <v>368316</v>
      </c>
    </row>
    <row r="3" spans="1:12" x14ac:dyDescent="0.2">
      <c r="A3" s="4" t="s">
        <v>92</v>
      </c>
      <c r="B3" s="7">
        <f>+'1'!E23</f>
        <v>13526</v>
      </c>
      <c r="C3" s="7">
        <f>+'1 (2)'!E23</f>
        <v>11186</v>
      </c>
      <c r="D3" s="7">
        <f>+'1 (3)'!E23</f>
        <v>15521</v>
      </c>
      <c r="E3" s="7">
        <f>+'1 (4)'!E23</f>
        <v>7019</v>
      </c>
      <c r="F3" s="7">
        <f>+'1 (5)'!E23</f>
        <v>17672</v>
      </c>
      <c r="G3" s="7">
        <f>+'1 (6)'!E23</f>
        <v>82453</v>
      </c>
      <c r="H3" s="7">
        <f>+'1 (7)'!E23</f>
        <v>31409</v>
      </c>
      <c r="I3" s="7">
        <f>+'1 (8)'!E23</f>
        <v>69640</v>
      </c>
      <c r="J3" s="7">
        <f>+'1 (9)'!E23</f>
        <v>24180</v>
      </c>
      <c r="K3" s="7">
        <f>+'1 (10)'!E23</f>
        <v>9559</v>
      </c>
      <c r="L3" s="7">
        <f t="shared" si="0"/>
        <v>282165</v>
      </c>
    </row>
    <row r="4" spans="1:12" x14ac:dyDescent="0.2">
      <c r="A4" s="4" t="s">
        <v>93</v>
      </c>
      <c r="B4" s="7">
        <f>+'1'!E24</f>
        <v>4997</v>
      </c>
      <c r="C4" s="7">
        <f>+'1 (2)'!E24</f>
        <v>5479</v>
      </c>
      <c r="D4" s="7">
        <f>+'1 (3)'!E24</f>
        <v>5627</v>
      </c>
      <c r="E4" s="7">
        <f>+'1 (4)'!E24</f>
        <v>3052</v>
      </c>
      <c r="F4" s="7">
        <f>+'1 (5)'!E24</f>
        <v>6872</v>
      </c>
      <c r="G4" s="7">
        <f>+'1 (6)'!E24</f>
        <v>21498</v>
      </c>
      <c r="H4" s="7">
        <f>+'1 (7)'!E24</f>
        <v>9277</v>
      </c>
      <c r="I4" s="7">
        <f>+'1 (8)'!E24</f>
        <v>18725</v>
      </c>
      <c r="J4" s="7">
        <f>+'1 (9)'!E24</f>
        <v>7062</v>
      </c>
      <c r="K4" s="7">
        <f>+'1 (10)'!E24</f>
        <v>3562</v>
      </c>
      <c r="L4" s="7">
        <f t="shared" si="0"/>
        <v>86151</v>
      </c>
    </row>
    <row r="5" spans="1:12" x14ac:dyDescent="0.2">
      <c r="A5" s="4" t="s">
        <v>25</v>
      </c>
      <c r="B5" s="7">
        <f>+'1'!F22</f>
        <v>6243</v>
      </c>
      <c r="C5" s="7">
        <f>+'1 (2)'!F22</f>
        <v>4387</v>
      </c>
      <c r="D5" s="7">
        <f>+'1 (3)'!F22</f>
        <v>9056</v>
      </c>
      <c r="E5" s="7">
        <f>+'1 (4)'!F22</f>
        <v>4100</v>
      </c>
      <c r="F5" s="7">
        <f>+'1 (5)'!F22</f>
        <v>11442</v>
      </c>
      <c r="G5" s="7">
        <f>+'1 (6)'!F22</f>
        <v>51515</v>
      </c>
      <c r="H5" s="7">
        <f>+'1 (7)'!F22</f>
        <v>16383</v>
      </c>
      <c r="I5" s="7">
        <f>+'1 (8)'!F22</f>
        <v>26668</v>
      </c>
      <c r="J5" s="7">
        <f>+'1 (9)'!F22</f>
        <v>15858</v>
      </c>
      <c r="K5" s="7">
        <f>+'1 (10)'!F22</f>
        <v>5005</v>
      </c>
      <c r="L5" s="7">
        <f t="shared" si="0"/>
        <v>150657</v>
      </c>
    </row>
    <row r="6" spans="1:12" x14ac:dyDescent="0.2">
      <c r="A6" s="4" t="s">
        <v>92</v>
      </c>
      <c r="B6" s="7">
        <f>+'1'!F23</f>
        <v>5048</v>
      </c>
      <c r="C6" s="7">
        <f>+'1 (2)'!F23</f>
        <v>3616</v>
      </c>
      <c r="D6" s="7">
        <f>+'1 (3)'!F23</f>
        <v>7418</v>
      </c>
      <c r="E6" s="7">
        <f>+'1 (4)'!F23</f>
        <v>3073</v>
      </c>
      <c r="F6" s="7">
        <f>+'1 (5)'!F23</f>
        <v>9380</v>
      </c>
      <c r="G6" s="7">
        <f>+'1 (6)'!F23</f>
        <v>43282</v>
      </c>
      <c r="H6" s="7">
        <f>+'1 (7)'!F23</f>
        <v>13180</v>
      </c>
      <c r="I6" s="7">
        <f>+'1 (8)'!F23</f>
        <v>22009</v>
      </c>
      <c r="J6" s="7">
        <f>+'1 (9)'!F23</f>
        <v>13522</v>
      </c>
      <c r="K6" s="7">
        <f>+'1 (10)'!F23</f>
        <v>4070</v>
      </c>
      <c r="L6" s="7">
        <f t="shared" si="0"/>
        <v>124598</v>
      </c>
    </row>
    <row r="7" spans="1:12" x14ac:dyDescent="0.2">
      <c r="A7" s="4" t="s">
        <v>93</v>
      </c>
      <c r="B7" s="7">
        <f>+'1'!F24</f>
        <v>1195</v>
      </c>
      <c r="C7" s="7">
        <f>+'1 (2)'!F24</f>
        <v>771</v>
      </c>
      <c r="D7" s="7">
        <f>+'1 (3)'!F24</f>
        <v>1638</v>
      </c>
      <c r="E7" s="7">
        <f>+'1 (4)'!F24</f>
        <v>1027</v>
      </c>
      <c r="F7" s="7">
        <f>+'1 (5)'!F24</f>
        <v>2062</v>
      </c>
      <c r="G7" s="7">
        <f>+'1 (6)'!F24</f>
        <v>8233</v>
      </c>
      <c r="H7" s="7">
        <f>+'1 (7)'!F24</f>
        <v>3203</v>
      </c>
      <c r="I7" s="7">
        <f>+'1 (8)'!F24</f>
        <v>4659</v>
      </c>
      <c r="J7" s="7">
        <f>+'1 (9)'!F24</f>
        <v>2336</v>
      </c>
      <c r="K7" s="7">
        <f>+'1 (10)'!F24</f>
        <v>935</v>
      </c>
      <c r="L7" s="7">
        <f t="shared" si="0"/>
        <v>26059</v>
      </c>
    </row>
    <row r="9" spans="1:12" x14ac:dyDescent="0.2">
      <c r="A9" s="28">
        <f>+Model!B32</f>
        <v>2025</v>
      </c>
    </row>
    <row r="10" spans="1:12" x14ac:dyDescent="0.2">
      <c r="A10" s="4" t="s">
        <v>24</v>
      </c>
      <c r="B10" s="7">
        <f>+'1'!E51</f>
        <v>21387.023537147441</v>
      </c>
      <c r="C10" s="7">
        <f>+'1 (2)'!E51</f>
        <v>20141.569767395817</v>
      </c>
      <c r="D10" s="7">
        <f>+'1 (3)'!E51</f>
        <v>23168.196472437441</v>
      </c>
      <c r="E10" s="7">
        <f>+'1 (4)'!E51</f>
        <v>10469.243091602453</v>
      </c>
      <c r="F10" s="7">
        <f>+'1 (5)'!E51</f>
        <v>28044.396093076313</v>
      </c>
      <c r="G10" s="7">
        <f>+'1 (6)'!E51</f>
        <v>119423.89266538541</v>
      </c>
      <c r="H10" s="7">
        <f>+'1 (7)'!E51</f>
        <v>46987.093578564651</v>
      </c>
      <c r="I10" s="7">
        <f>+'1 (8)'!E51</f>
        <v>102836.39846372569</v>
      </c>
      <c r="J10" s="7">
        <f>+'1 (9)'!E51</f>
        <v>36047.670065596896</v>
      </c>
      <c r="K10" s="7">
        <f>+'1 (10)'!E51</f>
        <v>15369.006389619597</v>
      </c>
      <c r="L10" s="7">
        <f t="shared" ref="L10:L15" si="1">+SUM(B10:K10)</f>
        <v>423874.4901245517</v>
      </c>
    </row>
    <row r="11" spans="1:12" x14ac:dyDescent="0.2">
      <c r="A11" s="4" t="s">
        <v>92</v>
      </c>
      <c r="B11" s="7">
        <f>+'1'!E52</f>
        <v>12600.184968122514</v>
      </c>
      <c r="C11" s="7">
        <f>+'1 (2)'!E52</f>
        <v>10122.731410094373</v>
      </c>
      <c r="D11" s="7">
        <f>+'1 (3)'!E52</f>
        <v>14043.007632039513</v>
      </c>
      <c r="E11" s="7">
        <f>+'1 (4)'!E52</f>
        <v>5732.8631924016627</v>
      </c>
      <c r="F11" s="7">
        <f>+'1 (5)'!E52</f>
        <v>15596.780891302038</v>
      </c>
      <c r="G11" s="7">
        <f>+'1 (6)'!E52</f>
        <v>79977.497623967822</v>
      </c>
      <c r="H11" s="7">
        <f>+'1 (7)'!E52</f>
        <v>29341.619204259197</v>
      </c>
      <c r="I11" s="7">
        <f>+'1 (8)'!E52</f>
        <v>66189.398396809731</v>
      </c>
      <c r="J11" s="7">
        <f>+'1 (9)'!E52</f>
        <v>23608.712914793326</v>
      </c>
      <c r="K11" s="7">
        <f>+'1 (10)'!E52</f>
        <v>9176.5303637824145</v>
      </c>
      <c r="L11" s="7">
        <f t="shared" si="1"/>
        <v>266389.3265975726</v>
      </c>
    </row>
    <row r="12" spans="1:12" x14ac:dyDescent="0.2">
      <c r="A12" s="4" t="s">
        <v>93</v>
      </c>
      <c r="B12" s="7">
        <f>+'1'!E53</f>
        <v>8786.8385690249252</v>
      </c>
      <c r="C12" s="7">
        <f>+'1 (2)'!E53</f>
        <v>10018.838357301445</v>
      </c>
      <c r="D12" s="7">
        <f>+'1 (3)'!E53</f>
        <v>9125.1888403979283</v>
      </c>
      <c r="E12" s="7">
        <f>+'1 (4)'!E53</f>
        <v>4736.3798992007905</v>
      </c>
      <c r="F12" s="7">
        <f>+'1 (5)'!E53</f>
        <v>12447.615201774272</v>
      </c>
      <c r="G12" s="7">
        <f>+'1 (6)'!E53</f>
        <v>39446.395041417607</v>
      </c>
      <c r="H12" s="7">
        <f>+'1 (7)'!E53</f>
        <v>17645.47437430545</v>
      </c>
      <c r="I12" s="7">
        <f>+'1 (8)'!E53</f>
        <v>36647.000066915971</v>
      </c>
      <c r="J12" s="7">
        <f>+'1 (9)'!E53</f>
        <v>12438.957150803575</v>
      </c>
      <c r="K12" s="7">
        <f>+'1 (10)'!E53</f>
        <v>6192.4760258371816</v>
      </c>
      <c r="L12" s="7">
        <f t="shared" si="1"/>
        <v>157485.16352697916</v>
      </c>
    </row>
    <row r="13" spans="1:12" x14ac:dyDescent="0.2">
      <c r="A13" s="4" t="s">
        <v>25</v>
      </c>
      <c r="B13" s="7">
        <f>+'1'!F51</f>
        <v>6734.8990361594006</v>
      </c>
      <c r="C13" s="7">
        <f>+'1 (2)'!F51</f>
        <v>4647.0038163052741</v>
      </c>
      <c r="D13" s="7">
        <f>+'1 (3)'!F51</f>
        <v>9610.2118188426957</v>
      </c>
      <c r="E13" s="7">
        <f>+'1 (4)'!F51</f>
        <v>4015.3889644726487</v>
      </c>
      <c r="F13" s="7">
        <f>+'1 (5)'!F51</f>
        <v>11778.295234105251</v>
      </c>
      <c r="G13" s="7">
        <f>+'1 (6)'!F51</f>
        <v>57338.760049378499</v>
      </c>
      <c r="H13" s="7">
        <f>+'1 (7)'!F51</f>
        <v>18202.49934631084</v>
      </c>
      <c r="I13" s="7">
        <f>+'1 (8)'!F51</f>
        <v>31331.353355085415</v>
      </c>
      <c r="J13" s="7">
        <f>+'1 (9)'!F51</f>
        <v>17422.178083556777</v>
      </c>
      <c r="K13" s="7">
        <f>+'1 (10)'!F51</f>
        <v>5481.2778403856692</v>
      </c>
      <c r="L13" s="7">
        <f t="shared" si="1"/>
        <v>166561.86754460249</v>
      </c>
    </row>
    <row r="14" spans="1:12" x14ac:dyDescent="0.2">
      <c r="A14" s="4" t="s">
        <v>92</v>
      </c>
      <c r="B14" s="7">
        <f>+'1'!F52</f>
        <v>4724.899607786966</v>
      </c>
      <c r="C14" s="7">
        <f>+'1 (2)'!F52</f>
        <v>3243.7276959076412</v>
      </c>
      <c r="D14" s="7">
        <f>+'1 (3)'!F52</f>
        <v>7035.0134785990158</v>
      </c>
      <c r="E14" s="7">
        <f>+'1 (4)'!F52</f>
        <v>2475.6525539244353</v>
      </c>
      <c r="F14" s="7">
        <f>+'1 (5)'!F52</f>
        <v>8185.4781651183357</v>
      </c>
      <c r="G14" s="7">
        <f>+'1 (6)'!F52</f>
        <v>42722.086925093383</v>
      </c>
      <c r="H14" s="7">
        <f>+'1 (7)'!F52</f>
        <v>12486.000187006479</v>
      </c>
      <c r="I14" s="7">
        <f>+'1 (8)'!F52</f>
        <v>22354.665188452433</v>
      </c>
      <c r="J14" s="7">
        <f>+'1 (9)'!F52</f>
        <v>13491.22070415588</v>
      </c>
      <c r="K14" s="7">
        <f>+'1 (10)'!F52</f>
        <v>3894.3901491650804</v>
      </c>
      <c r="L14" s="7">
        <f t="shared" si="1"/>
        <v>120613.13465520965</v>
      </c>
    </row>
    <row r="15" spans="1:12" x14ac:dyDescent="0.2">
      <c r="A15" s="4" t="s">
        <v>93</v>
      </c>
      <c r="B15" s="7">
        <f>+'1'!F53</f>
        <v>2009.9994283724347</v>
      </c>
      <c r="C15" s="7">
        <f>+'1 (2)'!F53</f>
        <v>1403.2761203976333</v>
      </c>
      <c r="D15" s="7">
        <f>+'1 (3)'!F53</f>
        <v>2575.1983402436799</v>
      </c>
      <c r="E15" s="7">
        <f>+'1 (4)'!F53</f>
        <v>1539.7364105482134</v>
      </c>
      <c r="F15" s="7">
        <f>+'1 (5)'!F53</f>
        <v>3592.8170689869171</v>
      </c>
      <c r="G15" s="7">
        <f>+'1 (6)'!F53</f>
        <v>14616.673124285117</v>
      </c>
      <c r="H15" s="7">
        <f>+'1 (7)'!F53</f>
        <v>5716.4991593043615</v>
      </c>
      <c r="I15" s="7">
        <f>+'1 (8)'!F53</f>
        <v>8976.6881666329828</v>
      </c>
      <c r="J15" s="7">
        <f>+'1 (9)'!F53</f>
        <v>3930.9573794008993</v>
      </c>
      <c r="K15" s="7">
        <f>+'1 (10)'!F53</f>
        <v>1586.8876912205897</v>
      </c>
      <c r="L15" s="7">
        <f t="shared" si="1"/>
        <v>45948.732889392828</v>
      </c>
    </row>
    <row r="17" spans="1:12" x14ac:dyDescent="0.2">
      <c r="A17" s="3" t="s">
        <v>94</v>
      </c>
    </row>
    <row r="18" spans="1:12" x14ac:dyDescent="0.2">
      <c r="A18" s="4" t="s">
        <v>24</v>
      </c>
      <c r="B18" s="7">
        <f t="shared" ref="B18:L18" si="2">+B10-B2</f>
        <v>2864.0235371474409</v>
      </c>
      <c r="C18" s="7">
        <f t="shared" si="2"/>
        <v>3476.5697673958166</v>
      </c>
      <c r="D18" s="7">
        <f t="shared" si="2"/>
        <v>2020.1964724374411</v>
      </c>
      <c r="E18" s="7">
        <f t="shared" si="2"/>
        <v>398.24309160245321</v>
      </c>
      <c r="F18" s="7">
        <f t="shared" si="2"/>
        <v>3500.3960930763133</v>
      </c>
      <c r="G18" s="7">
        <f t="shared" si="2"/>
        <v>15472.892665385414</v>
      </c>
      <c r="H18" s="7">
        <f t="shared" si="2"/>
        <v>6301.0935785646507</v>
      </c>
      <c r="I18" s="7">
        <f t="shared" si="2"/>
        <v>14471.398463725694</v>
      </c>
      <c r="J18" s="7">
        <f t="shared" si="2"/>
        <v>4805.6700655968962</v>
      </c>
      <c r="K18" s="7">
        <f t="shared" si="2"/>
        <v>2248.006389619597</v>
      </c>
      <c r="L18" s="7">
        <f t="shared" si="2"/>
        <v>55558.490124551696</v>
      </c>
    </row>
    <row r="19" spans="1:12" x14ac:dyDescent="0.2">
      <c r="A19" s="4" t="s">
        <v>92</v>
      </c>
      <c r="B19" s="7">
        <f t="shared" ref="B19:C23" si="3">+B11-B3</f>
        <v>-925.81503187748604</v>
      </c>
      <c r="C19" s="7">
        <f t="shared" si="3"/>
        <v>-1063.2685899056269</v>
      </c>
      <c r="D19" s="7">
        <f t="shared" ref="D19:L19" si="4">+D11-D3</f>
        <v>-1477.9923679604872</v>
      </c>
      <c r="E19" s="7">
        <f t="shared" si="4"/>
        <v>-1286.1368075983373</v>
      </c>
      <c r="F19" s="7">
        <f t="shared" si="4"/>
        <v>-2075.2191086979619</v>
      </c>
      <c r="G19" s="7">
        <f t="shared" si="4"/>
        <v>-2475.5023760321783</v>
      </c>
      <c r="H19" s="7">
        <f t="shared" si="4"/>
        <v>-2067.3807957408026</v>
      </c>
      <c r="I19" s="7">
        <f t="shared" si="4"/>
        <v>-3450.6016031902691</v>
      </c>
      <c r="J19" s="7">
        <f t="shared" si="4"/>
        <v>-571.28708520667351</v>
      </c>
      <c r="K19" s="7">
        <f t="shared" si="4"/>
        <v>-382.4696362175855</v>
      </c>
      <c r="L19" s="7">
        <f t="shared" si="4"/>
        <v>-15775.673402427405</v>
      </c>
    </row>
    <row r="20" spans="1:12" x14ac:dyDescent="0.2">
      <c r="A20" s="4" t="s">
        <v>93</v>
      </c>
      <c r="B20" s="7">
        <f t="shared" si="3"/>
        <v>3789.8385690249252</v>
      </c>
      <c r="C20" s="7">
        <f t="shared" si="3"/>
        <v>4539.8383573014453</v>
      </c>
      <c r="D20" s="7">
        <f t="shared" ref="D20:L20" si="5">+D12-D4</f>
        <v>3498.1888403979283</v>
      </c>
      <c r="E20" s="7">
        <f t="shared" si="5"/>
        <v>1684.3798992007905</v>
      </c>
      <c r="F20" s="7">
        <f t="shared" si="5"/>
        <v>5575.6152017742716</v>
      </c>
      <c r="G20" s="7">
        <f t="shared" si="5"/>
        <v>17948.395041417607</v>
      </c>
      <c r="H20" s="7">
        <f t="shared" si="5"/>
        <v>8368.4743743054496</v>
      </c>
      <c r="I20" s="7">
        <f t="shared" si="5"/>
        <v>17922.000066915971</v>
      </c>
      <c r="J20" s="7">
        <f t="shared" si="5"/>
        <v>5376.9571508035751</v>
      </c>
      <c r="K20" s="7">
        <f t="shared" si="5"/>
        <v>2630.4760258371816</v>
      </c>
      <c r="L20" s="7">
        <f t="shared" si="5"/>
        <v>71334.163526979159</v>
      </c>
    </row>
    <row r="21" spans="1:12" x14ac:dyDescent="0.2">
      <c r="A21" s="4" t="s">
        <v>25</v>
      </c>
      <c r="B21" s="7">
        <f t="shared" si="3"/>
        <v>491.89903615940057</v>
      </c>
      <c r="C21" s="7">
        <f t="shared" si="3"/>
        <v>260.00381630527409</v>
      </c>
      <c r="D21" s="7">
        <f t="shared" ref="D21:L21" si="6">+D13-D5</f>
        <v>554.21181884269572</v>
      </c>
      <c r="E21" s="7">
        <f t="shared" si="6"/>
        <v>-84.611035527351305</v>
      </c>
      <c r="F21" s="7">
        <f t="shared" si="6"/>
        <v>336.29523410525144</v>
      </c>
      <c r="G21" s="7">
        <f t="shared" si="6"/>
        <v>5823.7600493784994</v>
      </c>
      <c r="H21" s="7">
        <f t="shared" si="6"/>
        <v>1819.4993463108403</v>
      </c>
      <c r="I21" s="7">
        <f t="shared" si="6"/>
        <v>4663.3533550854154</v>
      </c>
      <c r="J21" s="7">
        <f t="shared" si="6"/>
        <v>1564.178083556777</v>
      </c>
      <c r="K21" s="7">
        <f t="shared" si="6"/>
        <v>476.27784038566915</v>
      </c>
      <c r="L21" s="7">
        <f t="shared" si="6"/>
        <v>15904.867544602486</v>
      </c>
    </row>
    <row r="22" spans="1:12" x14ac:dyDescent="0.2">
      <c r="A22" s="4" t="s">
        <v>92</v>
      </c>
      <c r="B22" s="7">
        <f t="shared" si="3"/>
        <v>-323.10039221303396</v>
      </c>
      <c r="C22" s="7">
        <f t="shared" si="3"/>
        <v>-372.27230409235881</v>
      </c>
      <c r="D22" s="7">
        <f t="shared" ref="D22:L22" si="7">+D14-D6</f>
        <v>-382.9865214009842</v>
      </c>
      <c r="E22" s="7">
        <f t="shared" si="7"/>
        <v>-597.34744607556468</v>
      </c>
      <c r="F22" s="7">
        <f t="shared" si="7"/>
        <v>-1194.5218348816643</v>
      </c>
      <c r="G22" s="7">
        <f t="shared" si="7"/>
        <v>-559.91307490661711</v>
      </c>
      <c r="H22" s="7">
        <f t="shared" si="7"/>
        <v>-693.99981299352112</v>
      </c>
      <c r="I22" s="7">
        <f t="shared" si="7"/>
        <v>345.66518845243263</v>
      </c>
      <c r="J22" s="7">
        <f t="shared" si="7"/>
        <v>-30.779295844120497</v>
      </c>
      <c r="K22" s="7">
        <f t="shared" si="7"/>
        <v>-175.6098508349196</v>
      </c>
      <c r="L22" s="7">
        <f t="shared" si="7"/>
        <v>-3984.8653447903489</v>
      </c>
    </row>
    <row r="23" spans="1:12" x14ac:dyDescent="0.2">
      <c r="A23" s="4" t="s">
        <v>93</v>
      </c>
      <c r="B23" s="7">
        <f t="shared" si="3"/>
        <v>814.99942837243475</v>
      </c>
      <c r="C23" s="7">
        <f t="shared" si="3"/>
        <v>632.27612039763335</v>
      </c>
      <c r="D23" s="7">
        <f t="shared" ref="D23:L23" si="8">+D15-D7</f>
        <v>937.19834024367992</v>
      </c>
      <c r="E23" s="7">
        <f t="shared" si="8"/>
        <v>512.73641054821337</v>
      </c>
      <c r="F23" s="7">
        <f t="shared" si="8"/>
        <v>1530.8170689869171</v>
      </c>
      <c r="G23" s="7">
        <f t="shared" si="8"/>
        <v>6383.6731242851165</v>
      </c>
      <c r="H23" s="7">
        <f t="shared" si="8"/>
        <v>2513.4991593043615</v>
      </c>
      <c r="I23" s="7">
        <f t="shared" si="8"/>
        <v>4317.6881666329828</v>
      </c>
      <c r="J23" s="7">
        <f t="shared" si="8"/>
        <v>1594.9573794008993</v>
      </c>
      <c r="K23" s="7">
        <f t="shared" si="8"/>
        <v>651.88769122058966</v>
      </c>
      <c r="L23" s="7">
        <f t="shared" si="8"/>
        <v>19889.732889392828</v>
      </c>
    </row>
    <row r="25" spans="1:12" x14ac:dyDescent="0.2">
      <c r="A25" t="s">
        <v>97</v>
      </c>
    </row>
    <row r="26" spans="1:12" x14ac:dyDescent="0.2">
      <c r="A26" s="4" t="s">
        <v>95</v>
      </c>
      <c r="B26" s="7">
        <f>+B18/($A$9-2010)</f>
        <v>190.93490247649606</v>
      </c>
      <c r="C26" s="7">
        <f t="shared" ref="C26:L26" si="9">+C18/($A$9-2010)</f>
        <v>231.77131782638779</v>
      </c>
      <c r="D26" s="7">
        <f t="shared" si="9"/>
        <v>134.67976482916274</v>
      </c>
      <c r="E26" s="7">
        <f t="shared" si="9"/>
        <v>26.549539440163546</v>
      </c>
      <c r="F26" s="7">
        <f t="shared" si="9"/>
        <v>233.35973953842088</v>
      </c>
      <c r="G26" s="7">
        <f t="shared" si="9"/>
        <v>1031.526177692361</v>
      </c>
      <c r="H26" s="7">
        <f t="shared" si="9"/>
        <v>420.0729052376434</v>
      </c>
      <c r="I26" s="7">
        <f t="shared" si="9"/>
        <v>964.75989758171295</v>
      </c>
      <c r="J26" s="7">
        <f t="shared" si="9"/>
        <v>320.37800437312643</v>
      </c>
      <c r="K26" s="7">
        <f t="shared" si="9"/>
        <v>149.86709264130647</v>
      </c>
      <c r="L26" s="7">
        <f t="shared" si="9"/>
        <v>3703.8993416367798</v>
      </c>
    </row>
    <row r="27" spans="1:12" x14ac:dyDescent="0.2">
      <c r="A27" s="4" t="s">
        <v>96</v>
      </c>
      <c r="B27" s="7">
        <f>+B21/($A$9-2010)</f>
        <v>32.793269077293374</v>
      </c>
      <c r="C27" s="7">
        <f t="shared" ref="C27:L27" si="10">+C21/($A$9-2010)</f>
        <v>17.333587753684938</v>
      </c>
      <c r="D27" s="7">
        <f t="shared" si="10"/>
        <v>36.94745458951305</v>
      </c>
      <c r="E27" s="7">
        <f t="shared" si="10"/>
        <v>-5.6407357018234201</v>
      </c>
      <c r="F27" s="7">
        <f t="shared" si="10"/>
        <v>22.419682273683428</v>
      </c>
      <c r="G27" s="7">
        <f t="shared" si="10"/>
        <v>388.25066995856662</v>
      </c>
      <c r="H27" s="7">
        <f t="shared" si="10"/>
        <v>121.29995642072269</v>
      </c>
      <c r="I27" s="7">
        <f t="shared" si="10"/>
        <v>310.890223672361</v>
      </c>
      <c r="J27" s="7">
        <f t="shared" si="10"/>
        <v>104.27853890378513</v>
      </c>
      <c r="K27" s="7">
        <f t="shared" si="10"/>
        <v>31.751856025711277</v>
      </c>
      <c r="L27" s="7">
        <f t="shared" si="10"/>
        <v>1060.3245029734992</v>
      </c>
    </row>
  </sheetData>
  <phoneticPr fontId="1" type="noConversion"/>
  <pageMargins left="0.75" right="0.75" top="1" bottom="1" header="0.5" footer="0.5"/>
  <pageSetup scale="90" orientation="landscape" r:id="rId1"/>
  <headerFooter alignWithMargins="0">
    <oddHeader>&amp;F</oddHeader>
    <oddFooter>&amp;L&amp;B NHCPPS Confidential&amp;B&amp;C&amp;D&amp;RPage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0"/>
  <sheetViews>
    <sheetView workbookViewId="0">
      <selection activeCell="B3" sqref="B3:G3"/>
    </sheetView>
  </sheetViews>
  <sheetFormatPr defaultRowHeight="12.75" x14ac:dyDescent="0.2"/>
  <cols>
    <col min="1" max="1" width="18.5703125" bestFit="1" customWidth="1"/>
  </cols>
  <sheetData>
    <row r="1" spans="1:12" x14ac:dyDescent="0.2">
      <c r="A1" t="s">
        <v>0</v>
      </c>
      <c r="B1">
        <v>2</v>
      </c>
      <c r="C1">
        <f>+B1+1</f>
        <v>3</v>
      </c>
      <c r="D1">
        <f t="shared" ref="D1:L1" si="0">+C1+1</f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</row>
    <row r="2" spans="1:12" x14ac:dyDescent="0.2">
      <c r="A2" t="s">
        <v>73</v>
      </c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75</v>
      </c>
    </row>
    <row r="3" spans="1:12" x14ac:dyDescent="0.2">
      <c r="A3" t="s">
        <v>33</v>
      </c>
      <c r="B3" t="s">
        <v>41</v>
      </c>
      <c r="C3" t="s">
        <v>42</v>
      </c>
      <c r="D3" t="s">
        <v>43</v>
      </c>
      <c r="E3" t="s">
        <v>44</v>
      </c>
      <c r="F3" t="s">
        <v>45</v>
      </c>
      <c r="G3" t="s">
        <v>46</v>
      </c>
      <c r="H3" t="s">
        <v>47</v>
      </c>
      <c r="I3" t="s">
        <v>48</v>
      </c>
      <c r="J3" t="s">
        <v>49</v>
      </c>
      <c r="K3" t="s">
        <v>50</v>
      </c>
    </row>
    <row r="4" spans="1:12" x14ac:dyDescent="0.2">
      <c r="A4" t="s">
        <v>69</v>
      </c>
      <c r="B4" s="17">
        <v>10852</v>
      </c>
      <c r="C4" s="17">
        <v>8027</v>
      </c>
      <c r="D4" s="17">
        <v>14027</v>
      </c>
      <c r="E4" s="17">
        <v>6092</v>
      </c>
      <c r="F4" s="17">
        <v>14587</v>
      </c>
      <c r="G4" s="17">
        <v>84324</v>
      </c>
      <c r="H4" s="17">
        <v>28107</v>
      </c>
      <c r="I4" s="17">
        <v>61499</v>
      </c>
      <c r="J4" s="17">
        <v>22020</v>
      </c>
      <c r="K4" s="17">
        <v>7942</v>
      </c>
      <c r="L4" s="17">
        <f>SUM(B4:K4)</f>
        <v>257477</v>
      </c>
    </row>
    <row r="5" spans="1:12" x14ac:dyDescent="0.2">
      <c r="A5" t="s">
        <v>2</v>
      </c>
      <c r="B5" s="17">
        <v>6260</v>
      </c>
      <c r="C5" s="17">
        <v>4175</v>
      </c>
      <c r="D5" s="17">
        <v>11844</v>
      </c>
      <c r="E5" s="17">
        <v>3561</v>
      </c>
      <c r="F5" s="17">
        <v>14356</v>
      </c>
      <c r="G5" s="17">
        <v>45182</v>
      </c>
      <c r="H5" s="17">
        <v>16890</v>
      </c>
      <c r="I5" s="17">
        <v>29013</v>
      </c>
      <c r="J5" s="17">
        <v>19861</v>
      </c>
      <c r="K5" s="17">
        <v>4312</v>
      </c>
      <c r="L5" s="17">
        <f t="shared" ref="L5:L13" si="1">SUM(B5:K5)</f>
        <v>155454</v>
      </c>
    </row>
    <row r="6" spans="1:12" x14ac:dyDescent="0.2">
      <c r="A6" t="s">
        <v>3</v>
      </c>
      <c r="B6" s="17">
        <v>6377</v>
      </c>
      <c r="C6" s="17">
        <v>4467</v>
      </c>
      <c r="D6" s="17">
        <v>8212</v>
      </c>
      <c r="E6" s="17">
        <v>3608</v>
      </c>
      <c r="F6" s="17">
        <v>9692</v>
      </c>
      <c r="G6" s="17">
        <v>54444</v>
      </c>
      <c r="H6" s="17">
        <v>16902</v>
      </c>
      <c r="I6" s="17">
        <v>36314</v>
      </c>
      <c r="J6" s="17">
        <v>15250</v>
      </c>
      <c r="K6" s="17">
        <v>4795</v>
      </c>
      <c r="L6" s="17">
        <f t="shared" si="1"/>
        <v>160061</v>
      </c>
    </row>
    <row r="7" spans="1:12" x14ac:dyDescent="0.2">
      <c r="A7" t="s">
        <v>4</v>
      </c>
      <c r="B7" s="17">
        <v>9446</v>
      </c>
      <c r="C7" s="17">
        <v>7107</v>
      </c>
      <c r="D7" s="17">
        <v>11721</v>
      </c>
      <c r="E7" s="17">
        <v>5235</v>
      </c>
      <c r="F7" s="17">
        <v>12374</v>
      </c>
      <c r="G7" s="17">
        <v>70260</v>
      </c>
      <c r="H7" s="17">
        <v>24771</v>
      </c>
      <c r="I7" s="17">
        <v>54673</v>
      </c>
      <c r="J7" s="17">
        <v>19039</v>
      </c>
      <c r="K7" s="17">
        <v>6553</v>
      </c>
      <c r="L7" s="17">
        <f t="shared" si="1"/>
        <v>221179</v>
      </c>
    </row>
    <row r="8" spans="1:12" x14ac:dyDescent="0.2">
      <c r="A8" t="s">
        <v>5</v>
      </c>
      <c r="B8" s="17">
        <v>8984</v>
      </c>
      <c r="C8" s="17">
        <v>7028</v>
      </c>
      <c r="D8" s="17">
        <v>11012</v>
      </c>
      <c r="E8" s="17">
        <v>5000</v>
      </c>
      <c r="F8" s="17">
        <v>12111</v>
      </c>
      <c r="G8" s="17">
        <v>54721</v>
      </c>
      <c r="H8" s="17">
        <v>20800</v>
      </c>
      <c r="I8" s="17">
        <v>43345</v>
      </c>
      <c r="J8" s="17">
        <v>14691</v>
      </c>
      <c r="K8" s="17">
        <v>6294</v>
      </c>
      <c r="L8" s="17">
        <f t="shared" si="1"/>
        <v>183986</v>
      </c>
    </row>
    <row r="9" spans="1:12" x14ac:dyDescent="0.2">
      <c r="A9" t="s">
        <v>6</v>
      </c>
      <c r="B9" s="17">
        <v>5910</v>
      </c>
      <c r="C9" s="17">
        <v>5073</v>
      </c>
      <c r="D9" s="17">
        <v>6923</v>
      </c>
      <c r="E9" s="17">
        <v>3502</v>
      </c>
      <c r="F9" s="17">
        <v>7650</v>
      </c>
      <c r="G9" s="17">
        <v>31384</v>
      </c>
      <c r="H9" s="17">
        <v>11832</v>
      </c>
      <c r="I9" s="17">
        <v>24428</v>
      </c>
      <c r="J9" s="17">
        <v>8779</v>
      </c>
      <c r="K9" s="17">
        <v>4178</v>
      </c>
      <c r="L9" s="17">
        <f t="shared" si="1"/>
        <v>109659</v>
      </c>
    </row>
    <row r="10" spans="1:12" x14ac:dyDescent="0.2">
      <c r="A10" t="s">
        <v>7</v>
      </c>
      <c r="B10" s="17">
        <v>4505</v>
      </c>
      <c r="C10" s="17">
        <v>4336</v>
      </c>
      <c r="D10" s="17">
        <v>5306</v>
      </c>
      <c r="E10" s="17">
        <v>3127</v>
      </c>
      <c r="F10" s="17">
        <v>5701</v>
      </c>
      <c r="G10" s="17">
        <v>21058</v>
      </c>
      <c r="H10" s="17">
        <v>8547</v>
      </c>
      <c r="I10" s="17">
        <v>15549</v>
      </c>
      <c r="J10" s="17">
        <v>6760</v>
      </c>
      <c r="K10" s="17">
        <v>3438</v>
      </c>
      <c r="L10" s="17">
        <f t="shared" si="1"/>
        <v>78327</v>
      </c>
    </row>
    <row r="11" spans="1:12" x14ac:dyDescent="0.2">
      <c r="A11" t="s">
        <v>8</v>
      </c>
      <c r="B11" s="17">
        <v>3018</v>
      </c>
      <c r="C11" s="17">
        <v>2608</v>
      </c>
      <c r="D11" s="17">
        <v>3502</v>
      </c>
      <c r="E11" s="17">
        <v>2183</v>
      </c>
      <c r="F11" s="17">
        <v>3889</v>
      </c>
      <c r="G11" s="17">
        <v>14411</v>
      </c>
      <c r="H11" s="17">
        <v>5852</v>
      </c>
      <c r="I11" s="17">
        <v>9372</v>
      </c>
      <c r="J11" s="17">
        <v>4364</v>
      </c>
      <c r="K11" s="17">
        <v>2213</v>
      </c>
      <c r="L11" s="17">
        <f t="shared" si="1"/>
        <v>51412</v>
      </c>
    </row>
    <row r="12" spans="1:12" x14ac:dyDescent="0.2">
      <c r="A12" t="s">
        <v>9</v>
      </c>
      <c r="B12" s="17">
        <v>973</v>
      </c>
      <c r="C12" s="17">
        <v>845</v>
      </c>
      <c r="D12" s="17">
        <v>1278</v>
      </c>
      <c r="E12" s="17">
        <v>803</v>
      </c>
      <c r="F12" s="17">
        <v>1383</v>
      </c>
      <c r="G12" s="17">
        <v>5057</v>
      </c>
      <c r="H12" s="17">
        <v>2524</v>
      </c>
      <c r="I12" s="17">
        <v>3166</v>
      </c>
      <c r="J12" s="17">
        <v>1469</v>
      </c>
      <c r="K12" s="17">
        <v>733</v>
      </c>
      <c r="L12" s="17">
        <f t="shared" si="1"/>
        <v>18231</v>
      </c>
    </row>
    <row r="13" spans="1:12" x14ac:dyDescent="0.2">
      <c r="A13" t="s">
        <v>10</v>
      </c>
      <c r="B13" s="17">
        <v>56325</v>
      </c>
      <c r="C13" s="17">
        <v>43666</v>
      </c>
      <c r="D13" s="17">
        <v>73825</v>
      </c>
      <c r="E13" s="17">
        <v>33111</v>
      </c>
      <c r="F13" s="17">
        <v>81743</v>
      </c>
      <c r="G13" s="17">
        <v>380841</v>
      </c>
      <c r="H13" s="17">
        <v>136225</v>
      </c>
      <c r="I13" s="17">
        <v>277359</v>
      </c>
      <c r="J13" s="17">
        <v>112233</v>
      </c>
      <c r="K13" s="17">
        <v>40458</v>
      </c>
      <c r="L13" s="17">
        <f t="shared" si="1"/>
        <v>1235786</v>
      </c>
    </row>
    <row r="14" spans="1:12" x14ac:dyDescent="0.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1:12" x14ac:dyDescent="0.2">
      <c r="A15" t="s">
        <v>34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x14ac:dyDescent="0.2">
      <c r="A16" t="s">
        <v>69</v>
      </c>
      <c r="B16" s="17">
        <v>10031</v>
      </c>
      <c r="C16" s="17">
        <v>7108</v>
      </c>
      <c r="D16" s="17">
        <v>12192</v>
      </c>
      <c r="E16" s="17">
        <v>4940</v>
      </c>
      <c r="F16" s="17">
        <v>13199</v>
      </c>
      <c r="G16" s="17">
        <v>76557</v>
      </c>
      <c r="H16" s="17">
        <v>25609</v>
      </c>
      <c r="I16" s="17">
        <v>54015</v>
      </c>
      <c r="J16" s="17">
        <v>20997</v>
      </c>
      <c r="K16" s="17">
        <v>7534</v>
      </c>
      <c r="L16" s="17">
        <f>SUM(B16:K16)</f>
        <v>232182</v>
      </c>
    </row>
    <row r="17" spans="1:12" x14ac:dyDescent="0.2">
      <c r="A17" t="s">
        <v>2</v>
      </c>
      <c r="B17" s="17">
        <v>6457</v>
      </c>
      <c r="C17" s="17">
        <v>4539</v>
      </c>
      <c r="D17" s="17">
        <v>13584</v>
      </c>
      <c r="E17" s="17">
        <v>3539</v>
      </c>
      <c r="F17" s="17">
        <v>15900</v>
      </c>
      <c r="G17" s="17">
        <v>51969</v>
      </c>
      <c r="H17" s="17">
        <v>19392</v>
      </c>
      <c r="I17" s="17">
        <v>34956</v>
      </c>
      <c r="J17" s="17">
        <v>23153</v>
      </c>
      <c r="K17" s="17">
        <v>4677</v>
      </c>
      <c r="L17" s="17">
        <f t="shared" ref="L17:L25" si="2">SUM(B17:K17)</f>
        <v>178166</v>
      </c>
    </row>
    <row r="18" spans="1:12" x14ac:dyDescent="0.2">
      <c r="A18" t="s">
        <v>3</v>
      </c>
      <c r="B18" s="17">
        <v>6189</v>
      </c>
      <c r="C18" s="17">
        <v>3927</v>
      </c>
      <c r="D18" s="17">
        <v>7872</v>
      </c>
      <c r="E18" s="17">
        <v>3209</v>
      </c>
      <c r="F18" s="17">
        <v>9448</v>
      </c>
      <c r="G18" s="17">
        <v>49098</v>
      </c>
      <c r="H18" s="17">
        <v>16161</v>
      </c>
      <c r="I18" s="17">
        <v>29257</v>
      </c>
      <c r="J18" s="17">
        <v>14784</v>
      </c>
      <c r="K18" s="17">
        <v>4527</v>
      </c>
      <c r="L18" s="17">
        <f t="shared" si="2"/>
        <v>144472</v>
      </c>
    </row>
    <row r="19" spans="1:12" x14ac:dyDescent="0.2">
      <c r="A19" t="s">
        <v>4</v>
      </c>
      <c r="B19" s="17">
        <v>7663</v>
      </c>
      <c r="C19" s="17">
        <v>5744</v>
      </c>
      <c r="D19" s="17">
        <v>9224</v>
      </c>
      <c r="E19" s="17">
        <v>4096</v>
      </c>
      <c r="F19" s="17">
        <v>10150</v>
      </c>
      <c r="G19" s="17">
        <v>57579</v>
      </c>
      <c r="H19" s="17">
        <v>19841</v>
      </c>
      <c r="I19" s="17">
        <v>43086</v>
      </c>
      <c r="J19" s="17">
        <v>16011</v>
      </c>
      <c r="K19" s="17">
        <v>5784</v>
      </c>
      <c r="L19" s="17">
        <f t="shared" si="2"/>
        <v>179178</v>
      </c>
    </row>
    <row r="20" spans="1:12" x14ac:dyDescent="0.2">
      <c r="A20" t="s">
        <v>5</v>
      </c>
      <c r="B20" s="17">
        <v>10149</v>
      </c>
      <c r="C20" s="17">
        <v>8347</v>
      </c>
      <c r="D20" s="17">
        <v>12040</v>
      </c>
      <c r="E20" s="17">
        <v>5585</v>
      </c>
      <c r="F20" s="17">
        <v>13873</v>
      </c>
      <c r="G20" s="17">
        <v>68476</v>
      </c>
      <c r="H20" s="17">
        <v>25270</v>
      </c>
      <c r="I20" s="17">
        <v>55517</v>
      </c>
      <c r="J20" s="17">
        <v>19357</v>
      </c>
      <c r="K20" s="17">
        <v>7347</v>
      </c>
      <c r="L20" s="17">
        <f t="shared" si="2"/>
        <v>225961</v>
      </c>
    </row>
    <row r="21" spans="1:12" x14ac:dyDescent="0.2">
      <c r="A21" t="s">
        <v>6</v>
      </c>
      <c r="B21" s="17">
        <v>9542</v>
      </c>
      <c r="C21" s="17">
        <v>8315</v>
      </c>
      <c r="D21" s="17">
        <v>10863</v>
      </c>
      <c r="E21" s="17">
        <v>5287</v>
      </c>
      <c r="F21" s="17">
        <v>12737</v>
      </c>
      <c r="G21" s="17">
        <v>49515</v>
      </c>
      <c r="H21" s="17">
        <v>20164</v>
      </c>
      <c r="I21" s="17">
        <v>40968</v>
      </c>
      <c r="J21" s="17">
        <v>14196</v>
      </c>
      <c r="K21" s="17">
        <v>6656</v>
      </c>
      <c r="L21" s="17">
        <f t="shared" si="2"/>
        <v>178243</v>
      </c>
    </row>
    <row r="22" spans="1:12" x14ac:dyDescent="0.2">
      <c r="A22" t="s">
        <v>7</v>
      </c>
      <c r="B22" s="17">
        <v>5457</v>
      </c>
      <c r="C22" s="17">
        <v>5491</v>
      </c>
      <c r="D22" s="17">
        <v>6086</v>
      </c>
      <c r="E22" s="17">
        <v>3291</v>
      </c>
      <c r="F22" s="17">
        <v>7437</v>
      </c>
      <c r="G22" s="17">
        <v>25560</v>
      </c>
      <c r="H22" s="17">
        <v>10467</v>
      </c>
      <c r="I22" s="17">
        <v>21216</v>
      </c>
      <c r="J22" s="17">
        <v>7786</v>
      </c>
      <c r="K22" s="17">
        <v>3971</v>
      </c>
      <c r="L22" s="17">
        <f t="shared" si="2"/>
        <v>96762</v>
      </c>
    </row>
    <row r="23" spans="1:12" x14ac:dyDescent="0.2">
      <c r="A23" t="s">
        <v>8</v>
      </c>
      <c r="B23" s="17">
        <v>3156</v>
      </c>
      <c r="C23" s="17">
        <v>3153</v>
      </c>
      <c r="D23" s="17">
        <v>3744</v>
      </c>
      <c r="E23" s="17">
        <v>2144</v>
      </c>
      <c r="F23" s="17">
        <v>4325</v>
      </c>
      <c r="G23" s="17">
        <v>15119</v>
      </c>
      <c r="H23" s="17">
        <v>6400</v>
      </c>
      <c r="I23" s="17">
        <v>11571</v>
      </c>
      <c r="J23" s="17">
        <v>4841</v>
      </c>
      <c r="K23" s="17">
        <v>2292</v>
      </c>
      <c r="L23" s="17">
        <f t="shared" si="2"/>
        <v>56745</v>
      </c>
    </row>
    <row r="24" spans="1:12" x14ac:dyDescent="0.2">
      <c r="A24" t="s">
        <v>9</v>
      </c>
      <c r="B24" s="17">
        <v>1444</v>
      </c>
      <c r="C24" s="17">
        <v>1194</v>
      </c>
      <c r="D24" s="17">
        <v>1512</v>
      </c>
      <c r="E24" s="17">
        <v>964</v>
      </c>
      <c r="F24" s="17">
        <v>2049</v>
      </c>
      <c r="G24" s="17">
        <v>6848</v>
      </c>
      <c r="H24" s="17">
        <v>3141</v>
      </c>
      <c r="I24" s="17">
        <v>4637</v>
      </c>
      <c r="J24" s="17">
        <v>2018</v>
      </c>
      <c r="K24" s="17">
        <v>954</v>
      </c>
      <c r="L24" s="17">
        <f t="shared" si="2"/>
        <v>24761</v>
      </c>
    </row>
    <row r="25" spans="1:12" x14ac:dyDescent="0.2">
      <c r="A25" t="s">
        <v>10</v>
      </c>
      <c r="B25" s="17">
        <v>60088</v>
      </c>
      <c r="C25" s="17">
        <v>47818</v>
      </c>
      <c r="D25" s="17">
        <v>77117</v>
      </c>
      <c r="E25" s="17">
        <v>33055</v>
      </c>
      <c r="F25" s="17">
        <v>89118</v>
      </c>
      <c r="G25" s="17">
        <v>400721</v>
      </c>
      <c r="H25" s="17">
        <v>146445</v>
      </c>
      <c r="I25" s="17">
        <v>295223</v>
      </c>
      <c r="J25" s="17">
        <v>123143</v>
      </c>
      <c r="K25" s="17">
        <v>43742</v>
      </c>
      <c r="L25" s="17">
        <f t="shared" si="2"/>
        <v>1316470</v>
      </c>
    </row>
    <row r="27" spans="1:12" x14ac:dyDescent="0.2">
      <c r="A27" t="s">
        <v>35</v>
      </c>
    </row>
    <row r="28" spans="1:12" x14ac:dyDescent="0.2">
      <c r="A28" t="s">
        <v>69</v>
      </c>
    </row>
    <row r="29" spans="1:12" x14ac:dyDescent="0.2">
      <c r="A29" t="s">
        <v>2</v>
      </c>
      <c r="B29" s="17">
        <v>163</v>
      </c>
      <c r="C29" s="17">
        <v>117</v>
      </c>
      <c r="D29" s="17">
        <v>186</v>
      </c>
      <c r="E29" s="17">
        <v>97</v>
      </c>
      <c r="F29" s="17">
        <v>186</v>
      </c>
      <c r="G29" s="17">
        <v>656</v>
      </c>
      <c r="H29" s="17">
        <v>315</v>
      </c>
      <c r="I29" s="17">
        <v>445</v>
      </c>
      <c r="J29" s="17">
        <v>288</v>
      </c>
      <c r="K29" s="17">
        <v>135</v>
      </c>
      <c r="L29" s="17">
        <f>SUM(B29:K29)</f>
        <v>2588</v>
      </c>
    </row>
    <row r="30" spans="1:12" x14ac:dyDescent="0.2">
      <c r="A30" t="s">
        <v>3</v>
      </c>
      <c r="B30" s="17">
        <v>1595</v>
      </c>
      <c r="C30" s="17">
        <v>1160</v>
      </c>
      <c r="D30" s="17">
        <v>1941</v>
      </c>
      <c r="E30" s="17">
        <v>931</v>
      </c>
      <c r="F30" s="17">
        <v>2060</v>
      </c>
      <c r="G30" s="17">
        <v>11790</v>
      </c>
      <c r="H30" s="17">
        <v>3823</v>
      </c>
      <c r="I30" s="17">
        <v>9303</v>
      </c>
      <c r="J30" s="17">
        <v>3251</v>
      </c>
      <c r="K30" s="17">
        <v>1264</v>
      </c>
      <c r="L30" s="17">
        <f t="shared" ref="L30:L37" si="3">SUM(B30:K30)</f>
        <v>37118</v>
      </c>
    </row>
    <row r="31" spans="1:12" x14ac:dyDescent="0.2">
      <c r="A31" t="s">
        <v>4</v>
      </c>
      <c r="B31" s="17">
        <v>3612</v>
      </c>
      <c r="C31" s="17">
        <v>2870</v>
      </c>
      <c r="D31" s="17">
        <v>4609</v>
      </c>
      <c r="E31" s="17">
        <v>2018</v>
      </c>
      <c r="F31" s="17">
        <v>4718</v>
      </c>
      <c r="G31" s="17">
        <v>26290</v>
      </c>
      <c r="H31" s="17">
        <v>9364</v>
      </c>
      <c r="I31" s="17">
        <v>22993</v>
      </c>
      <c r="J31" s="17">
        <v>7370</v>
      </c>
      <c r="K31" s="17">
        <v>2487</v>
      </c>
      <c r="L31" s="17">
        <f t="shared" si="3"/>
        <v>86331</v>
      </c>
    </row>
    <row r="32" spans="1:12" x14ac:dyDescent="0.2">
      <c r="A32" t="s">
        <v>5</v>
      </c>
      <c r="B32" s="17">
        <v>4109</v>
      </c>
      <c r="C32" s="17">
        <v>3246</v>
      </c>
      <c r="D32" s="17">
        <v>5001</v>
      </c>
      <c r="E32" s="17">
        <v>2292</v>
      </c>
      <c r="F32" s="17">
        <v>5539</v>
      </c>
      <c r="G32" s="17">
        <v>23540</v>
      </c>
      <c r="H32" s="17">
        <v>9395</v>
      </c>
      <c r="I32" s="17">
        <v>20363</v>
      </c>
      <c r="J32" s="17">
        <v>6454</v>
      </c>
      <c r="K32" s="17">
        <v>2839</v>
      </c>
      <c r="L32" s="17">
        <f t="shared" si="3"/>
        <v>82778</v>
      </c>
    </row>
    <row r="33" spans="1:12" x14ac:dyDescent="0.2">
      <c r="A33" t="s">
        <v>6</v>
      </c>
      <c r="B33" s="17">
        <v>2996</v>
      </c>
      <c r="C33" s="17">
        <v>2619</v>
      </c>
      <c r="D33" s="17">
        <v>3393</v>
      </c>
      <c r="E33" s="17">
        <v>1695</v>
      </c>
      <c r="F33" s="17">
        <v>3758</v>
      </c>
      <c r="G33" s="17">
        <v>14329</v>
      </c>
      <c r="H33" s="17">
        <v>5606</v>
      </c>
      <c r="I33" s="17">
        <v>12133</v>
      </c>
      <c r="J33" s="17">
        <v>4176</v>
      </c>
      <c r="K33" s="17">
        <v>1995</v>
      </c>
      <c r="L33" s="17">
        <f t="shared" si="3"/>
        <v>52700</v>
      </c>
    </row>
    <row r="34" spans="1:12" x14ac:dyDescent="0.2">
      <c r="A34" t="s">
        <v>7</v>
      </c>
      <c r="B34" s="17">
        <v>2361</v>
      </c>
      <c r="C34" s="17">
        <v>2418</v>
      </c>
      <c r="D34" s="17">
        <v>2757</v>
      </c>
      <c r="E34" s="17">
        <v>1608</v>
      </c>
      <c r="F34" s="17">
        <v>3004</v>
      </c>
      <c r="G34" s="17">
        <v>9757</v>
      </c>
      <c r="H34" s="17">
        <v>4236</v>
      </c>
      <c r="I34" s="17">
        <v>8123</v>
      </c>
      <c r="J34" s="17">
        <v>3359</v>
      </c>
      <c r="K34" s="17">
        <v>1790</v>
      </c>
      <c r="L34" s="17">
        <f t="shared" si="3"/>
        <v>39413</v>
      </c>
    </row>
    <row r="35" spans="1:12" x14ac:dyDescent="0.2">
      <c r="A35" t="s">
        <v>8</v>
      </c>
      <c r="B35" s="17">
        <v>1466</v>
      </c>
      <c r="C35" s="17">
        <v>1479</v>
      </c>
      <c r="D35" s="17">
        <v>1719</v>
      </c>
      <c r="E35" s="17">
        <v>1042</v>
      </c>
      <c r="F35" s="17">
        <v>1905</v>
      </c>
      <c r="G35" s="17">
        <v>6042</v>
      </c>
      <c r="H35" s="17">
        <v>2600</v>
      </c>
      <c r="I35" s="17">
        <v>4549</v>
      </c>
      <c r="J35" s="17">
        <v>2076</v>
      </c>
      <c r="K35" s="17">
        <v>1112</v>
      </c>
      <c r="L35" s="17">
        <f t="shared" si="3"/>
        <v>23990</v>
      </c>
    </row>
    <row r="36" spans="1:12" x14ac:dyDescent="0.2">
      <c r="A36" t="s">
        <v>9</v>
      </c>
      <c r="B36" s="17">
        <v>332</v>
      </c>
      <c r="C36" s="17">
        <v>369</v>
      </c>
      <c r="D36" s="17">
        <v>443</v>
      </c>
      <c r="E36" s="17">
        <v>259</v>
      </c>
      <c r="F36" s="17">
        <v>507</v>
      </c>
      <c r="G36" s="17">
        <v>1344</v>
      </c>
      <c r="H36" s="17">
        <v>680</v>
      </c>
      <c r="I36" s="17">
        <v>1083</v>
      </c>
      <c r="J36" s="17">
        <v>484</v>
      </c>
      <c r="K36" s="17">
        <v>281</v>
      </c>
      <c r="L36" s="17">
        <f t="shared" si="3"/>
        <v>5782</v>
      </c>
    </row>
    <row r="37" spans="1:12" x14ac:dyDescent="0.2">
      <c r="A37" t="s">
        <v>10</v>
      </c>
      <c r="B37" s="17">
        <f>+SUM(B29:B36)</f>
        <v>16634</v>
      </c>
      <c r="C37" s="17">
        <f t="shared" ref="C37:K37" si="4">+SUM(C29:C36)</f>
        <v>14278</v>
      </c>
      <c r="D37" s="17">
        <f t="shared" si="4"/>
        <v>20049</v>
      </c>
      <c r="E37" s="17">
        <f t="shared" si="4"/>
        <v>9942</v>
      </c>
      <c r="F37" s="17">
        <f t="shared" si="4"/>
        <v>21677</v>
      </c>
      <c r="G37" s="17">
        <f t="shared" si="4"/>
        <v>93748</v>
      </c>
      <c r="H37" s="17">
        <f t="shared" si="4"/>
        <v>36019</v>
      </c>
      <c r="I37" s="17">
        <f t="shared" si="4"/>
        <v>78992</v>
      </c>
      <c r="J37" s="17">
        <f t="shared" si="4"/>
        <v>27458</v>
      </c>
      <c r="K37" s="17">
        <f t="shared" si="4"/>
        <v>11903</v>
      </c>
      <c r="L37" s="17">
        <f t="shared" si="3"/>
        <v>330700</v>
      </c>
    </row>
    <row r="38" spans="1:12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1:12" x14ac:dyDescent="0.2">
      <c r="A39" t="s">
        <v>36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x14ac:dyDescent="0.2">
      <c r="A40" t="s">
        <v>69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</row>
    <row r="41" spans="1:12" x14ac:dyDescent="0.2">
      <c r="A41" t="s">
        <v>2</v>
      </c>
      <c r="B41" s="17">
        <v>141</v>
      </c>
      <c r="C41" s="17">
        <v>83</v>
      </c>
      <c r="D41" s="17">
        <v>158</v>
      </c>
      <c r="E41" s="17">
        <v>89</v>
      </c>
      <c r="F41" s="17">
        <v>171</v>
      </c>
      <c r="G41" s="17">
        <v>725</v>
      </c>
      <c r="H41" s="17">
        <v>275</v>
      </c>
      <c r="I41" s="17">
        <v>446</v>
      </c>
      <c r="J41" s="17">
        <v>253</v>
      </c>
      <c r="K41" s="17">
        <v>102</v>
      </c>
      <c r="L41" s="17">
        <f>SUM(B41:K41)</f>
        <v>2443</v>
      </c>
    </row>
    <row r="42" spans="1:12" x14ac:dyDescent="0.2">
      <c r="A42" t="s">
        <v>3</v>
      </c>
      <c r="B42" s="17">
        <v>1380</v>
      </c>
      <c r="C42" s="17">
        <v>846</v>
      </c>
      <c r="D42" s="17">
        <v>1563</v>
      </c>
      <c r="E42" s="17">
        <v>643</v>
      </c>
      <c r="F42" s="17">
        <v>1593</v>
      </c>
      <c r="G42" s="17">
        <v>9630</v>
      </c>
      <c r="H42" s="17">
        <v>3293</v>
      </c>
      <c r="I42" s="17">
        <v>6091</v>
      </c>
      <c r="J42" s="17">
        <v>3036</v>
      </c>
      <c r="K42" s="17">
        <v>1004</v>
      </c>
      <c r="L42" s="17">
        <f t="shared" ref="L42:L49" si="5">SUM(B42:K42)</f>
        <v>29079</v>
      </c>
    </row>
    <row r="43" spans="1:12" x14ac:dyDescent="0.2">
      <c r="A43" t="s">
        <v>4</v>
      </c>
      <c r="B43" s="17">
        <v>2809</v>
      </c>
      <c r="C43" s="17">
        <v>2149</v>
      </c>
      <c r="D43" s="17">
        <v>3364</v>
      </c>
      <c r="E43" s="17">
        <v>1448</v>
      </c>
      <c r="F43" s="17">
        <v>3588</v>
      </c>
      <c r="G43" s="17">
        <v>20413</v>
      </c>
      <c r="H43" s="17">
        <v>7124</v>
      </c>
      <c r="I43" s="17">
        <v>17119</v>
      </c>
      <c r="J43" s="17">
        <v>5831</v>
      </c>
      <c r="K43" s="17">
        <v>2122</v>
      </c>
      <c r="L43" s="17">
        <f t="shared" si="5"/>
        <v>65967</v>
      </c>
    </row>
    <row r="44" spans="1:12" x14ac:dyDescent="0.2">
      <c r="A44" t="s">
        <v>5</v>
      </c>
      <c r="B44" s="17">
        <v>4462</v>
      </c>
      <c r="C44" s="17">
        <v>3866</v>
      </c>
      <c r="D44" s="17">
        <v>5203</v>
      </c>
      <c r="E44" s="17">
        <v>2308</v>
      </c>
      <c r="F44" s="17">
        <v>6080</v>
      </c>
      <c r="G44" s="17">
        <v>28815</v>
      </c>
      <c r="H44" s="17">
        <v>10920</v>
      </c>
      <c r="I44" s="17">
        <v>25625</v>
      </c>
      <c r="J44" s="17">
        <v>8352</v>
      </c>
      <c r="K44" s="17">
        <v>3147</v>
      </c>
      <c r="L44" s="17">
        <f t="shared" si="5"/>
        <v>98778</v>
      </c>
    </row>
    <row r="45" spans="1:12" x14ac:dyDescent="0.2">
      <c r="A45" t="s">
        <v>6</v>
      </c>
      <c r="B45" s="17">
        <v>4734</v>
      </c>
      <c r="C45" s="17">
        <v>4242</v>
      </c>
      <c r="D45" s="17">
        <v>5233</v>
      </c>
      <c r="E45" s="17">
        <v>2531</v>
      </c>
      <c r="F45" s="17">
        <v>6240</v>
      </c>
      <c r="G45" s="17">
        <v>22870</v>
      </c>
      <c r="H45" s="17">
        <v>9797</v>
      </c>
      <c r="I45" s="17">
        <v>20359</v>
      </c>
      <c r="J45" s="17">
        <v>6708</v>
      </c>
      <c r="K45" s="17">
        <v>3184</v>
      </c>
      <c r="L45" s="17">
        <f t="shared" si="5"/>
        <v>85898</v>
      </c>
    </row>
    <row r="46" spans="1:12" x14ac:dyDescent="0.2">
      <c r="A46" t="s">
        <v>7</v>
      </c>
      <c r="B46" s="17">
        <v>2901</v>
      </c>
      <c r="C46" s="17">
        <v>3064</v>
      </c>
      <c r="D46" s="17">
        <v>3172</v>
      </c>
      <c r="E46" s="17">
        <v>1629</v>
      </c>
      <c r="F46" s="17">
        <v>3876</v>
      </c>
      <c r="G46" s="17">
        <v>12217</v>
      </c>
      <c r="H46" s="17">
        <v>5255</v>
      </c>
      <c r="I46" s="17">
        <v>11086</v>
      </c>
      <c r="J46" s="17">
        <v>3912</v>
      </c>
      <c r="K46" s="17">
        <v>2041</v>
      </c>
      <c r="L46" s="17">
        <f t="shared" si="5"/>
        <v>49153</v>
      </c>
    </row>
    <row r="47" spans="1:12" x14ac:dyDescent="0.2">
      <c r="A47" t="s">
        <v>8</v>
      </c>
      <c r="B47" s="17">
        <v>1607</v>
      </c>
      <c r="C47" s="17">
        <v>1822</v>
      </c>
      <c r="D47" s="17">
        <v>1864</v>
      </c>
      <c r="E47" s="17">
        <v>1054</v>
      </c>
      <c r="F47" s="17">
        <v>2176</v>
      </c>
      <c r="G47" s="17">
        <v>7008</v>
      </c>
      <c r="H47" s="17">
        <v>3010</v>
      </c>
      <c r="I47" s="17">
        <v>5855</v>
      </c>
      <c r="J47" s="17">
        <v>2381</v>
      </c>
      <c r="K47" s="17">
        <v>1145</v>
      </c>
      <c r="L47" s="17">
        <f t="shared" si="5"/>
        <v>27922</v>
      </c>
    </row>
    <row r="48" spans="1:12" x14ac:dyDescent="0.2">
      <c r="A48" t="s">
        <v>9</v>
      </c>
      <c r="B48" s="17">
        <v>489</v>
      </c>
      <c r="C48" s="17">
        <v>593</v>
      </c>
      <c r="D48" s="17">
        <v>591</v>
      </c>
      <c r="E48" s="17">
        <v>369</v>
      </c>
      <c r="F48" s="17">
        <v>820</v>
      </c>
      <c r="G48" s="17">
        <v>2273</v>
      </c>
      <c r="H48" s="17">
        <v>1012</v>
      </c>
      <c r="I48" s="17">
        <v>1784</v>
      </c>
      <c r="J48" s="17">
        <v>769</v>
      </c>
      <c r="K48" s="17">
        <v>376</v>
      </c>
      <c r="L48" s="17">
        <f t="shared" si="5"/>
        <v>9076</v>
      </c>
    </row>
    <row r="49" spans="1:12" x14ac:dyDescent="0.2">
      <c r="A49" t="s">
        <v>10</v>
      </c>
      <c r="B49" s="17">
        <f t="shared" ref="B49:K49" si="6">+SUM(B41:B48)</f>
        <v>18523</v>
      </c>
      <c r="C49" s="17">
        <f t="shared" si="6"/>
        <v>16665</v>
      </c>
      <c r="D49" s="17">
        <f t="shared" si="6"/>
        <v>21148</v>
      </c>
      <c r="E49" s="17">
        <f t="shared" si="6"/>
        <v>10071</v>
      </c>
      <c r="F49" s="17">
        <f t="shared" si="6"/>
        <v>24544</v>
      </c>
      <c r="G49" s="17">
        <f t="shared" si="6"/>
        <v>103951</v>
      </c>
      <c r="H49" s="17">
        <f t="shared" si="6"/>
        <v>40686</v>
      </c>
      <c r="I49" s="17">
        <f t="shared" si="6"/>
        <v>88365</v>
      </c>
      <c r="J49" s="17">
        <f t="shared" si="6"/>
        <v>31242</v>
      </c>
      <c r="K49" s="17">
        <f t="shared" si="6"/>
        <v>13121</v>
      </c>
      <c r="L49" s="17">
        <f t="shared" si="5"/>
        <v>368316</v>
      </c>
    </row>
    <row r="51" spans="1:12" x14ac:dyDescent="0.2">
      <c r="A51" t="s">
        <v>37</v>
      </c>
    </row>
    <row r="52" spans="1:12" x14ac:dyDescent="0.2">
      <c r="A52" t="s">
        <v>69</v>
      </c>
    </row>
    <row r="53" spans="1:12" x14ac:dyDescent="0.2">
      <c r="A53" t="s">
        <v>2</v>
      </c>
      <c r="B53" s="17">
        <v>617</v>
      </c>
      <c r="C53" s="17">
        <v>331</v>
      </c>
      <c r="D53" s="17">
        <v>1274</v>
      </c>
      <c r="E53" s="17">
        <v>452</v>
      </c>
      <c r="F53" s="17">
        <v>1516</v>
      </c>
      <c r="G53" s="17">
        <v>4931</v>
      </c>
      <c r="H53" s="17">
        <v>1567</v>
      </c>
      <c r="I53" s="17">
        <v>2136</v>
      </c>
      <c r="J53" s="17">
        <v>2730</v>
      </c>
      <c r="K53" s="17">
        <v>498</v>
      </c>
      <c r="L53" s="17">
        <f>SUM(B53:K53)</f>
        <v>16052</v>
      </c>
    </row>
    <row r="54" spans="1:12" x14ac:dyDescent="0.2">
      <c r="A54" t="s">
        <v>3</v>
      </c>
      <c r="B54" s="17">
        <v>1403</v>
      </c>
      <c r="C54" s="17">
        <v>1006</v>
      </c>
      <c r="D54" s="17">
        <v>1943</v>
      </c>
      <c r="E54" s="17">
        <v>850</v>
      </c>
      <c r="F54" s="17">
        <v>2755</v>
      </c>
      <c r="G54" s="17">
        <v>14369</v>
      </c>
      <c r="H54" s="17">
        <v>4068</v>
      </c>
      <c r="I54" s="17">
        <v>7194</v>
      </c>
      <c r="J54" s="17">
        <v>4244</v>
      </c>
      <c r="K54" s="17">
        <v>1075</v>
      </c>
      <c r="L54" s="17">
        <f t="shared" ref="L54:L61" si="7">SUM(B54:K54)</f>
        <v>38907</v>
      </c>
    </row>
    <row r="55" spans="1:12" x14ac:dyDescent="0.2">
      <c r="A55" t="s">
        <v>4</v>
      </c>
      <c r="B55" s="17">
        <v>1420</v>
      </c>
      <c r="C55" s="17">
        <v>1050</v>
      </c>
      <c r="D55" s="17">
        <v>1662</v>
      </c>
      <c r="E55" s="17">
        <v>801</v>
      </c>
      <c r="F55" s="17">
        <v>2089</v>
      </c>
      <c r="G55" s="17">
        <v>11786</v>
      </c>
      <c r="H55" s="17">
        <v>3713</v>
      </c>
      <c r="I55" s="17">
        <v>6275</v>
      </c>
      <c r="J55" s="17">
        <v>3251</v>
      </c>
      <c r="K55" s="17">
        <v>999</v>
      </c>
      <c r="L55" s="17">
        <f t="shared" si="7"/>
        <v>33046</v>
      </c>
    </row>
    <row r="56" spans="1:12" x14ac:dyDescent="0.2">
      <c r="A56" t="s">
        <v>5</v>
      </c>
      <c r="B56" s="17">
        <v>894</v>
      </c>
      <c r="C56" s="17">
        <v>666</v>
      </c>
      <c r="D56" s="17">
        <v>1293</v>
      </c>
      <c r="E56" s="17">
        <v>538</v>
      </c>
      <c r="F56" s="17">
        <v>1444</v>
      </c>
      <c r="G56" s="17">
        <v>7688</v>
      </c>
      <c r="H56" s="17">
        <v>2421</v>
      </c>
      <c r="I56" s="17">
        <v>4128</v>
      </c>
      <c r="J56" s="17">
        <v>1939</v>
      </c>
      <c r="K56" s="17">
        <v>727</v>
      </c>
      <c r="L56" s="17">
        <f t="shared" si="7"/>
        <v>21738</v>
      </c>
    </row>
    <row r="57" spans="1:12" x14ac:dyDescent="0.2">
      <c r="A57" t="s">
        <v>6</v>
      </c>
      <c r="B57" s="17">
        <v>490</v>
      </c>
      <c r="C57" s="17">
        <v>350</v>
      </c>
      <c r="D57" s="17">
        <v>697</v>
      </c>
      <c r="E57" s="17">
        <v>335</v>
      </c>
      <c r="F57" s="17">
        <v>775</v>
      </c>
      <c r="G57" s="17">
        <v>4242</v>
      </c>
      <c r="H57" s="17">
        <v>1329</v>
      </c>
      <c r="I57" s="17">
        <v>2243</v>
      </c>
      <c r="J57" s="17">
        <v>1043</v>
      </c>
      <c r="K57" s="17">
        <v>446</v>
      </c>
      <c r="L57" s="17">
        <f t="shared" si="7"/>
        <v>11950</v>
      </c>
    </row>
    <row r="58" spans="1:12" x14ac:dyDescent="0.2">
      <c r="A58" t="s">
        <v>7</v>
      </c>
      <c r="B58" s="17">
        <v>395</v>
      </c>
      <c r="C58" s="17">
        <v>285</v>
      </c>
      <c r="D58" s="17">
        <v>590</v>
      </c>
      <c r="E58" s="17">
        <v>425</v>
      </c>
      <c r="F58" s="17">
        <v>584</v>
      </c>
      <c r="G58" s="17">
        <v>3388</v>
      </c>
      <c r="H58" s="17">
        <v>1042</v>
      </c>
      <c r="I58" s="17">
        <v>1613</v>
      </c>
      <c r="J58" s="17">
        <v>872</v>
      </c>
      <c r="K58" s="17">
        <v>383</v>
      </c>
      <c r="L58" s="17">
        <f t="shared" si="7"/>
        <v>9577</v>
      </c>
    </row>
    <row r="59" spans="1:12" x14ac:dyDescent="0.2">
      <c r="A59" t="s">
        <v>8</v>
      </c>
      <c r="B59" s="17">
        <v>446</v>
      </c>
      <c r="C59" s="17">
        <v>266</v>
      </c>
      <c r="D59" s="17">
        <v>550</v>
      </c>
      <c r="E59" s="17">
        <v>443</v>
      </c>
      <c r="F59" s="17">
        <v>548</v>
      </c>
      <c r="G59" s="17">
        <v>3121</v>
      </c>
      <c r="H59" s="17">
        <v>1167</v>
      </c>
      <c r="I59" s="17">
        <v>1391</v>
      </c>
      <c r="J59" s="17">
        <v>766</v>
      </c>
      <c r="K59" s="17">
        <v>375</v>
      </c>
      <c r="L59" s="17">
        <f t="shared" si="7"/>
        <v>9073</v>
      </c>
    </row>
    <row r="60" spans="1:12" x14ac:dyDescent="0.2">
      <c r="A60" t="s">
        <v>9</v>
      </c>
      <c r="B60" s="17">
        <v>160</v>
      </c>
      <c r="C60" s="17">
        <v>119</v>
      </c>
      <c r="D60" s="17">
        <v>241</v>
      </c>
      <c r="E60" s="17">
        <v>175</v>
      </c>
      <c r="F60" s="17">
        <v>210</v>
      </c>
      <c r="G60" s="17">
        <v>1182</v>
      </c>
      <c r="H60" s="17">
        <v>517</v>
      </c>
      <c r="I60" s="17">
        <v>557</v>
      </c>
      <c r="J60" s="17">
        <v>278</v>
      </c>
      <c r="K60" s="17">
        <v>124</v>
      </c>
      <c r="L60" s="17">
        <f t="shared" si="7"/>
        <v>3563</v>
      </c>
    </row>
    <row r="61" spans="1:12" x14ac:dyDescent="0.2">
      <c r="A61" t="s">
        <v>10</v>
      </c>
      <c r="B61" s="17">
        <f t="shared" ref="B61:K61" si="8">+SUM(B53:B60)</f>
        <v>5825</v>
      </c>
      <c r="C61" s="17">
        <f t="shared" si="8"/>
        <v>4073</v>
      </c>
      <c r="D61" s="17">
        <f t="shared" si="8"/>
        <v>8250</v>
      </c>
      <c r="E61" s="17">
        <f t="shared" si="8"/>
        <v>4019</v>
      </c>
      <c r="F61" s="17">
        <f t="shared" si="8"/>
        <v>9921</v>
      </c>
      <c r="G61" s="17">
        <f t="shared" si="8"/>
        <v>50707</v>
      </c>
      <c r="H61" s="17">
        <f t="shared" si="8"/>
        <v>15824</v>
      </c>
      <c r="I61" s="17">
        <f t="shared" si="8"/>
        <v>25537</v>
      </c>
      <c r="J61" s="17">
        <f t="shared" si="8"/>
        <v>15123</v>
      </c>
      <c r="K61" s="17">
        <f t="shared" si="8"/>
        <v>4627</v>
      </c>
      <c r="L61" s="17">
        <f t="shared" si="7"/>
        <v>143906</v>
      </c>
    </row>
    <row r="62" spans="1:12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</row>
    <row r="63" spans="1:12" x14ac:dyDescent="0.2">
      <c r="A63" t="s">
        <v>38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</row>
    <row r="64" spans="1:12" x14ac:dyDescent="0.2">
      <c r="A64" t="s">
        <v>69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</row>
    <row r="65" spans="1:12" x14ac:dyDescent="0.2">
      <c r="A65" t="s">
        <v>2</v>
      </c>
      <c r="B65" s="17">
        <v>493</v>
      </c>
      <c r="C65" s="17">
        <v>339</v>
      </c>
      <c r="D65" s="17">
        <v>1342</v>
      </c>
      <c r="E65" s="17">
        <v>369</v>
      </c>
      <c r="F65" s="17">
        <v>1492</v>
      </c>
      <c r="G65" s="17">
        <v>4495</v>
      </c>
      <c r="H65" s="17">
        <v>1494</v>
      </c>
      <c r="I65" s="17">
        <v>2048</v>
      </c>
      <c r="J65" s="17">
        <v>2522</v>
      </c>
      <c r="K65" s="17">
        <v>502</v>
      </c>
      <c r="L65" s="17">
        <f>SUM(B65:K65)</f>
        <v>15096</v>
      </c>
    </row>
    <row r="66" spans="1:12" x14ac:dyDescent="0.2">
      <c r="A66" t="s">
        <v>3</v>
      </c>
      <c r="B66" s="17">
        <v>1333</v>
      </c>
      <c r="C66" s="17">
        <v>868</v>
      </c>
      <c r="D66" s="17">
        <v>1918</v>
      </c>
      <c r="E66" s="17">
        <v>752</v>
      </c>
      <c r="F66" s="17">
        <v>2842</v>
      </c>
      <c r="G66" s="17">
        <v>12499</v>
      </c>
      <c r="H66" s="17">
        <v>3577</v>
      </c>
      <c r="I66" s="17">
        <v>5889</v>
      </c>
      <c r="J66" s="17">
        <v>3891</v>
      </c>
      <c r="K66" s="17">
        <v>1007</v>
      </c>
      <c r="L66" s="17">
        <f t="shared" ref="L66:L73" si="9">SUM(B66:K66)</f>
        <v>34576</v>
      </c>
    </row>
    <row r="67" spans="1:12" x14ac:dyDescent="0.2">
      <c r="A67" t="s">
        <v>4</v>
      </c>
      <c r="B67" s="17">
        <v>1171</v>
      </c>
      <c r="C67" s="17">
        <v>915</v>
      </c>
      <c r="D67" s="17">
        <v>1496</v>
      </c>
      <c r="E67" s="17">
        <v>657</v>
      </c>
      <c r="F67" s="17">
        <v>1919</v>
      </c>
      <c r="G67" s="17">
        <v>10219</v>
      </c>
      <c r="H67" s="17">
        <v>2938</v>
      </c>
      <c r="I67" s="17">
        <v>5167</v>
      </c>
      <c r="J67" s="17">
        <v>2724</v>
      </c>
      <c r="K67" s="17">
        <v>906</v>
      </c>
      <c r="L67" s="17">
        <f t="shared" si="9"/>
        <v>28112</v>
      </c>
    </row>
    <row r="68" spans="1:12" x14ac:dyDescent="0.2">
      <c r="A68" t="s">
        <v>5</v>
      </c>
      <c r="B68" s="17">
        <v>1219</v>
      </c>
      <c r="C68" s="17">
        <v>903</v>
      </c>
      <c r="D68" s="17">
        <v>1527</v>
      </c>
      <c r="E68" s="17">
        <v>734</v>
      </c>
      <c r="F68" s="17">
        <v>1838</v>
      </c>
      <c r="G68" s="17">
        <v>9875</v>
      </c>
      <c r="H68" s="17">
        <v>3099</v>
      </c>
      <c r="I68" s="17">
        <v>5422</v>
      </c>
      <c r="J68" s="17">
        <v>2659</v>
      </c>
      <c r="K68" s="17">
        <v>950</v>
      </c>
      <c r="L68" s="17">
        <f t="shared" si="9"/>
        <v>28226</v>
      </c>
    </row>
    <row r="69" spans="1:12" x14ac:dyDescent="0.2">
      <c r="A69" t="s">
        <v>6</v>
      </c>
      <c r="B69" s="17">
        <v>832</v>
      </c>
      <c r="C69" s="17">
        <v>591</v>
      </c>
      <c r="D69" s="17">
        <v>1135</v>
      </c>
      <c r="E69" s="17">
        <v>561</v>
      </c>
      <c r="F69" s="17">
        <v>1289</v>
      </c>
      <c r="G69" s="17">
        <v>6194</v>
      </c>
      <c r="H69" s="17">
        <v>2072</v>
      </c>
      <c r="I69" s="17">
        <v>3483</v>
      </c>
      <c r="J69" s="17">
        <v>1726</v>
      </c>
      <c r="K69" s="17">
        <v>705</v>
      </c>
      <c r="L69" s="17">
        <f t="shared" si="9"/>
        <v>18588</v>
      </c>
    </row>
    <row r="70" spans="1:12" x14ac:dyDescent="0.2">
      <c r="A70" t="s">
        <v>7</v>
      </c>
      <c r="B70" s="17">
        <v>484</v>
      </c>
      <c r="C70" s="17">
        <v>336</v>
      </c>
      <c r="D70" s="17">
        <v>643</v>
      </c>
      <c r="E70" s="17">
        <v>427</v>
      </c>
      <c r="F70" s="17">
        <v>762</v>
      </c>
      <c r="G70" s="17">
        <v>3655</v>
      </c>
      <c r="H70" s="17">
        <v>1163</v>
      </c>
      <c r="I70" s="17">
        <v>2022</v>
      </c>
      <c r="J70" s="17">
        <v>1015</v>
      </c>
      <c r="K70" s="17">
        <v>426</v>
      </c>
      <c r="L70" s="17">
        <f t="shared" si="9"/>
        <v>10933</v>
      </c>
    </row>
    <row r="71" spans="1:12" x14ac:dyDescent="0.2">
      <c r="A71" t="s">
        <v>8</v>
      </c>
      <c r="B71" s="17">
        <v>426</v>
      </c>
      <c r="C71" s="17">
        <v>289</v>
      </c>
      <c r="D71" s="17">
        <v>621</v>
      </c>
      <c r="E71" s="17">
        <v>390</v>
      </c>
      <c r="F71" s="17">
        <v>727</v>
      </c>
      <c r="G71" s="17">
        <v>2816</v>
      </c>
      <c r="H71" s="17">
        <v>1148</v>
      </c>
      <c r="I71" s="17">
        <v>1579</v>
      </c>
      <c r="J71" s="17">
        <v>819</v>
      </c>
      <c r="K71" s="17">
        <v>322</v>
      </c>
      <c r="L71" s="17">
        <f t="shared" si="9"/>
        <v>9137</v>
      </c>
    </row>
    <row r="72" spans="1:12" x14ac:dyDescent="0.2">
      <c r="A72" t="s">
        <v>9</v>
      </c>
      <c r="B72" s="17">
        <v>285</v>
      </c>
      <c r="C72" s="17">
        <v>146</v>
      </c>
      <c r="D72" s="17">
        <v>374</v>
      </c>
      <c r="E72" s="17">
        <v>210</v>
      </c>
      <c r="F72" s="17">
        <v>573</v>
      </c>
      <c r="G72" s="17">
        <v>1762</v>
      </c>
      <c r="H72" s="17">
        <v>892</v>
      </c>
      <c r="I72" s="17">
        <v>1058</v>
      </c>
      <c r="J72" s="17">
        <v>502</v>
      </c>
      <c r="K72" s="17">
        <v>187</v>
      </c>
      <c r="L72" s="17">
        <f t="shared" si="9"/>
        <v>5989</v>
      </c>
    </row>
    <row r="73" spans="1:12" x14ac:dyDescent="0.2">
      <c r="A73" t="s">
        <v>10</v>
      </c>
      <c r="B73" s="17">
        <f t="shared" ref="B73:K73" si="10">+SUM(B65:B72)</f>
        <v>6243</v>
      </c>
      <c r="C73" s="17">
        <f t="shared" si="10"/>
        <v>4387</v>
      </c>
      <c r="D73" s="17">
        <f t="shared" si="10"/>
        <v>9056</v>
      </c>
      <c r="E73" s="17">
        <f t="shared" si="10"/>
        <v>4100</v>
      </c>
      <c r="F73" s="17">
        <f t="shared" si="10"/>
        <v>11442</v>
      </c>
      <c r="G73" s="17">
        <f t="shared" si="10"/>
        <v>51515</v>
      </c>
      <c r="H73" s="17">
        <f t="shared" si="10"/>
        <v>16383</v>
      </c>
      <c r="I73" s="17">
        <f t="shared" si="10"/>
        <v>26668</v>
      </c>
      <c r="J73" s="17">
        <f t="shared" si="10"/>
        <v>15858</v>
      </c>
      <c r="K73" s="17">
        <f t="shared" si="10"/>
        <v>5005</v>
      </c>
      <c r="L73" s="17">
        <f t="shared" si="9"/>
        <v>150657</v>
      </c>
    </row>
    <row r="75" spans="1:12" x14ac:dyDescent="0.2">
      <c r="A75" t="s">
        <v>39</v>
      </c>
    </row>
    <row r="76" spans="1:12" x14ac:dyDescent="0.2">
      <c r="A76" t="s">
        <v>10</v>
      </c>
      <c r="B76">
        <v>1213</v>
      </c>
      <c r="C76">
        <v>569</v>
      </c>
      <c r="D76">
        <v>4030</v>
      </c>
      <c r="E76">
        <v>646</v>
      </c>
      <c r="F76">
        <v>6388</v>
      </c>
      <c r="G76">
        <v>7669</v>
      </c>
      <c r="H76">
        <v>6293</v>
      </c>
      <c r="I76">
        <v>2409</v>
      </c>
      <c r="J76">
        <v>5765</v>
      </c>
      <c r="K76">
        <v>557</v>
      </c>
      <c r="L76" s="17">
        <f>SUM(B76:K76)</f>
        <v>35539</v>
      </c>
    </row>
    <row r="77" spans="1:12" x14ac:dyDescent="0.2">
      <c r="A77" t="s">
        <v>20</v>
      </c>
      <c r="B77">
        <v>593</v>
      </c>
      <c r="C77">
        <v>224</v>
      </c>
      <c r="D77">
        <v>3327</v>
      </c>
      <c r="E77">
        <v>172</v>
      </c>
      <c r="F77">
        <v>5379</v>
      </c>
      <c r="G77">
        <v>4528</v>
      </c>
      <c r="H77">
        <v>4663</v>
      </c>
      <c r="I77">
        <v>934</v>
      </c>
      <c r="J77">
        <v>4979</v>
      </c>
      <c r="K77">
        <v>204</v>
      </c>
      <c r="L77" s="17">
        <f>SUM(B77:K77)</f>
        <v>25003</v>
      </c>
    </row>
    <row r="78" spans="1:12" x14ac:dyDescent="0.2">
      <c r="A78" t="s">
        <v>21</v>
      </c>
      <c r="B78">
        <v>620</v>
      </c>
      <c r="C78">
        <v>345</v>
      </c>
      <c r="D78">
        <v>703</v>
      </c>
      <c r="E78">
        <v>474</v>
      </c>
      <c r="F78">
        <v>1009</v>
      </c>
      <c r="G78">
        <v>3141</v>
      </c>
      <c r="H78">
        <v>1630</v>
      </c>
      <c r="I78">
        <v>1475</v>
      </c>
      <c r="J78">
        <v>786</v>
      </c>
      <c r="K78">
        <v>353</v>
      </c>
      <c r="L78" s="17">
        <f>SUM(B78:K78)</f>
        <v>10536</v>
      </c>
    </row>
    <row r="80" spans="1:12" x14ac:dyDescent="0.2">
      <c r="A80" t="s">
        <v>40</v>
      </c>
    </row>
    <row r="81" spans="1:12" x14ac:dyDescent="0.2">
      <c r="A81" t="s">
        <v>10</v>
      </c>
      <c r="B81">
        <v>858</v>
      </c>
      <c r="C81">
        <v>437</v>
      </c>
      <c r="D81">
        <v>4627</v>
      </c>
      <c r="E81">
        <v>1467</v>
      </c>
      <c r="F81">
        <v>7001</v>
      </c>
      <c r="G81">
        <v>7759</v>
      </c>
      <c r="H81">
        <v>6335</v>
      </c>
      <c r="I81">
        <v>2498</v>
      </c>
      <c r="J81">
        <v>8421</v>
      </c>
      <c r="K81">
        <v>701</v>
      </c>
      <c r="L81" s="17">
        <f>SUM(B81:K81)</f>
        <v>40104</v>
      </c>
    </row>
    <row r="82" spans="1:12" x14ac:dyDescent="0.2">
      <c r="A82" t="s">
        <v>20</v>
      </c>
      <c r="B82">
        <v>276</v>
      </c>
      <c r="C82">
        <v>129</v>
      </c>
      <c r="D82">
        <v>4196</v>
      </c>
      <c r="E82">
        <v>1017</v>
      </c>
      <c r="F82">
        <v>6499</v>
      </c>
      <c r="G82">
        <v>5408</v>
      </c>
      <c r="H82">
        <v>5154</v>
      </c>
      <c r="I82">
        <v>1394</v>
      </c>
      <c r="J82">
        <v>7888</v>
      </c>
      <c r="K82">
        <v>314</v>
      </c>
      <c r="L82" s="17">
        <f>SUM(B82:K82)</f>
        <v>32275</v>
      </c>
    </row>
    <row r="83" spans="1:12" x14ac:dyDescent="0.2">
      <c r="A83" t="s">
        <v>21</v>
      </c>
      <c r="B83">
        <v>582</v>
      </c>
      <c r="C83">
        <v>308</v>
      </c>
      <c r="D83">
        <v>431</v>
      </c>
      <c r="E83">
        <v>450</v>
      </c>
      <c r="F83">
        <v>502</v>
      </c>
      <c r="G83">
        <v>2351</v>
      </c>
      <c r="H83">
        <v>1181</v>
      </c>
      <c r="I83">
        <v>1104</v>
      </c>
      <c r="J83">
        <v>533</v>
      </c>
      <c r="K83">
        <v>387</v>
      </c>
      <c r="L83" s="17">
        <f>SUM(B83:K83)</f>
        <v>7829</v>
      </c>
    </row>
    <row r="85" spans="1:12" x14ac:dyDescent="0.2">
      <c r="B85" t="s">
        <v>41</v>
      </c>
      <c r="C85" t="s">
        <v>42</v>
      </c>
      <c r="D85" t="s">
        <v>43</v>
      </c>
      <c r="E85" t="s">
        <v>44</v>
      </c>
      <c r="F85" t="s">
        <v>45</v>
      </c>
      <c r="G85" t="s">
        <v>46</v>
      </c>
      <c r="H85" t="s">
        <v>47</v>
      </c>
      <c r="I85" t="s">
        <v>48</v>
      </c>
      <c r="J85" t="s">
        <v>49</v>
      </c>
      <c r="K85" t="s">
        <v>50</v>
      </c>
    </row>
    <row r="86" spans="1:12" x14ac:dyDescent="0.2">
      <c r="A86" t="s">
        <v>51</v>
      </c>
    </row>
    <row r="87" spans="1:12" x14ac:dyDescent="0.2">
      <c r="A87" t="s">
        <v>2</v>
      </c>
      <c r="B87" s="18">
        <f>+(B29+B53)/B5</f>
        <v>0.12460063897763578</v>
      </c>
      <c r="C87" s="18">
        <f t="shared" ref="C87:K87" si="11">+(C29+C53)/C5</f>
        <v>0.10730538922155688</v>
      </c>
      <c r="D87" s="18">
        <f t="shared" si="11"/>
        <v>0.12326916582235731</v>
      </c>
      <c r="E87" s="18">
        <f t="shared" si="11"/>
        <v>0.15417017691659646</v>
      </c>
      <c r="F87" s="18">
        <f t="shared" si="11"/>
        <v>0.11855670103092783</v>
      </c>
      <c r="G87" s="18">
        <f t="shared" si="11"/>
        <v>0.12365543800628569</v>
      </c>
      <c r="H87" s="18">
        <f t="shared" si="11"/>
        <v>0.11142687981053878</v>
      </c>
      <c r="I87" s="18">
        <f t="shared" si="11"/>
        <v>8.8960121324923314E-2</v>
      </c>
      <c r="J87" s="18">
        <f t="shared" si="11"/>
        <v>0.15195609485927195</v>
      </c>
      <c r="K87" s="18">
        <f t="shared" si="11"/>
        <v>0.14679962894248608</v>
      </c>
      <c r="L87" s="18">
        <f t="shared" ref="L87:L95" si="12">+(L29+L53)/L5</f>
        <v>0.11990685347433967</v>
      </c>
    </row>
    <row r="88" spans="1:12" x14ac:dyDescent="0.2">
      <c r="A88" t="s">
        <v>3</v>
      </c>
      <c r="B88" s="18">
        <f t="shared" ref="B88:K88" si="13">+(B30+B54)/B6</f>
        <v>0.47012701897443937</v>
      </c>
      <c r="C88" s="18">
        <f t="shared" si="13"/>
        <v>0.48488918737407655</v>
      </c>
      <c r="D88" s="18">
        <f t="shared" si="13"/>
        <v>0.47296639064783241</v>
      </c>
      <c r="E88" s="18">
        <f t="shared" si="13"/>
        <v>0.49362527716186255</v>
      </c>
      <c r="F88" s="18">
        <f t="shared" si="13"/>
        <v>0.49680148576145272</v>
      </c>
      <c r="G88" s="18">
        <f t="shared" si="13"/>
        <v>0.48047535081919035</v>
      </c>
      <c r="H88" s="18">
        <f t="shared" si="13"/>
        <v>0.46686782629274642</v>
      </c>
      <c r="I88" s="18">
        <f t="shared" si="13"/>
        <v>0.45428760257751832</v>
      </c>
      <c r="J88" s="18">
        <f t="shared" si="13"/>
        <v>0.49147540983606558</v>
      </c>
      <c r="K88" s="18">
        <f t="shared" si="13"/>
        <v>0.48779979144942648</v>
      </c>
      <c r="L88" s="18">
        <f t="shared" si="12"/>
        <v>0.47497516571806997</v>
      </c>
    </row>
    <row r="89" spans="1:12" x14ac:dyDescent="0.2">
      <c r="A89" t="s">
        <v>4</v>
      </c>
      <c r="B89" s="18">
        <f t="shared" ref="B89:K89" si="14">+(B31+B55)/B7</f>
        <v>0.53271225915731524</v>
      </c>
      <c r="C89" s="18">
        <f t="shared" si="14"/>
        <v>0.55156887575629665</v>
      </c>
      <c r="D89" s="18">
        <f t="shared" si="14"/>
        <v>0.53502260899240683</v>
      </c>
      <c r="E89" s="18">
        <f t="shared" si="14"/>
        <v>0.53849092645654251</v>
      </c>
      <c r="F89" s="18">
        <f t="shared" si="14"/>
        <v>0.55010505899466622</v>
      </c>
      <c r="G89" s="18">
        <f t="shared" si="14"/>
        <v>0.54192997438087109</v>
      </c>
      <c r="H89" s="18">
        <f t="shared" si="14"/>
        <v>0.52791570788421949</v>
      </c>
      <c r="I89" s="18">
        <f t="shared" si="14"/>
        <v>0.53532822416915116</v>
      </c>
      <c r="J89" s="18">
        <f t="shared" si="14"/>
        <v>0.55785492935553338</v>
      </c>
      <c r="K89" s="18">
        <f t="shared" si="14"/>
        <v>0.53197009003509843</v>
      </c>
      <c r="L89" s="18">
        <f t="shared" si="12"/>
        <v>0.53973026372304789</v>
      </c>
    </row>
    <row r="90" spans="1:12" x14ac:dyDescent="0.2">
      <c r="A90" t="s">
        <v>5</v>
      </c>
      <c r="B90" s="18">
        <f t="shared" ref="B90:K90" si="15">+(B32+B56)/B8</f>
        <v>0.55687889581478178</v>
      </c>
      <c r="C90" s="18">
        <f t="shared" si="15"/>
        <v>0.55663062037564026</v>
      </c>
      <c r="D90" s="18">
        <f t="shared" si="15"/>
        <v>0.57155830003632402</v>
      </c>
      <c r="E90" s="18">
        <f t="shared" si="15"/>
        <v>0.56599999999999995</v>
      </c>
      <c r="F90" s="18">
        <f t="shared" si="15"/>
        <v>0.57658327140615973</v>
      </c>
      <c r="G90" s="18">
        <f t="shared" si="15"/>
        <v>0.57067670546956384</v>
      </c>
      <c r="H90" s="18">
        <f t="shared" si="15"/>
        <v>0.56807692307692303</v>
      </c>
      <c r="I90" s="18">
        <f t="shared" si="15"/>
        <v>0.56502480101511132</v>
      </c>
      <c r="J90" s="18">
        <f t="shared" si="15"/>
        <v>0.5713021577836771</v>
      </c>
      <c r="K90" s="18">
        <f t="shared" si="15"/>
        <v>0.56657133778201463</v>
      </c>
      <c r="L90" s="18">
        <f t="shared" si="12"/>
        <v>0.56806496146445928</v>
      </c>
    </row>
    <row r="91" spans="1:12" x14ac:dyDescent="0.2">
      <c r="A91" t="s">
        <v>6</v>
      </c>
      <c r="B91" s="18">
        <f t="shared" ref="B91:K91" si="16">+(B33+B57)/B9</f>
        <v>0.58984771573604056</v>
      </c>
      <c r="C91" s="18">
        <f t="shared" si="16"/>
        <v>0.58525527301399571</v>
      </c>
      <c r="D91" s="18">
        <f t="shared" si="16"/>
        <v>0.59078434204824493</v>
      </c>
      <c r="E91" s="18">
        <f t="shared" si="16"/>
        <v>0.57966876070816675</v>
      </c>
      <c r="F91" s="18">
        <f t="shared" si="16"/>
        <v>0.59254901960784312</v>
      </c>
      <c r="G91" s="18">
        <f t="shared" si="16"/>
        <v>0.59173464185572267</v>
      </c>
      <c r="H91" s="18">
        <f t="shared" si="16"/>
        <v>0.58612237998647732</v>
      </c>
      <c r="I91" s="18">
        <f t="shared" si="16"/>
        <v>0.58850499426887182</v>
      </c>
      <c r="J91" s="18">
        <f t="shared" si="16"/>
        <v>0.59448684360405513</v>
      </c>
      <c r="K91" s="18">
        <f t="shared" si="16"/>
        <v>0.58425083772139785</v>
      </c>
      <c r="L91" s="18">
        <f t="shared" si="12"/>
        <v>0.58955489289524798</v>
      </c>
    </row>
    <row r="92" spans="1:12" x14ac:dyDescent="0.2">
      <c r="A92" t="s">
        <v>7</v>
      </c>
      <c r="B92" s="18">
        <f t="shared" ref="B92:K92" si="17">+(B34+B58)/B10</f>
        <v>0.61176470588235299</v>
      </c>
      <c r="C92" s="18">
        <f t="shared" si="17"/>
        <v>0.62338560885608851</v>
      </c>
      <c r="D92" s="18">
        <f t="shared" si="17"/>
        <v>0.63079532604598565</v>
      </c>
      <c r="E92" s="18">
        <f t="shared" si="17"/>
        <v>0.65014390789894472</v>
      </c>
      <c r="F92" s="18">
        <f t="shared" si="17"/>
        <v>0.6293632696018242</v>
      </c>
      <c r="G92" s="18">
        <f t="shared" si="17"/>
        <v>0.62422832177794663</v>
      </c>
      <c r="H92" s="18">
        <f t="shared" si="17"/>
        <v>0.61752661752661753</v>
      </c>
      <c r="I92" s="18">
        <f t="shared" si="17"/>
        <v>0.62614959161360861</v>
      </c>
      <c r="J92" s="18">
        <f t="shared" si="17"/>
        <v>0.62588757396449701</v>
      </c>
      <c r="K92" s="18">
        <f t="shared" si="17"/>
        <v>0.63205351948807442</v>
      </c>
      <c r="L92" s="18">
        <f t="shared" si="12"/>
        <v>0.62545482400704733</v>
      </c>
    </row>
    <row r="93" spans="1:12" x14ac:dyDescent="0.2">
      <c r="A93" t="s">
        <v>8</v>
      </c>
      <c r="B93" s="18">
        <f t="shared" ref="B93:K93" si="18">+(B35+B59)/B11</f>
        <v>0.63353214049039097</v>
      </c>
      <c r="C93" s="18">
        <f t="shared" si="18"/>
        <v>0.66909509202453987</v>
      </c>
      <c r="D93" s="18">
        <f t="shared" si="18"/>
        <v>0.64791547687035977</v>
      </c>
      <c r="E93" s="18">
        <f t="shared" si="18"/>
        <v>0.68025652771415479</v>
      </c>
      <c r="F93" s="18">
        <f t="shared" si="18"/>
        <v>0.63075340704551297</v>
      </c>
      <c r="G93" s="18">
        <f t="shared" si="18"/>
        <v>0.6358337381167164</v>
      </c>
      <c r="H93" s="18">
        <f t="shared" si="18"/>
        <v>0.64371155160628846</v>
      </c>
      <c r="I93" s="18">
        <f t="shared" si="18"/>
        <v>0.63380281690140849</v>
      </c>
      <c r="J93" s="18">
        <f t="shared" si="18"/>
        <v>0.65123739688359306</v>
      </c>
      <c r="K93" s="18">
        <f t="shared" si="18"/>
        <v>0.67193854496159056</v>
      </c>
      <c r="L93" s="18">
        <f t="shared" si="12"/>
        <v>0.64309888741927956</v>
      </c>
    </row>
    <row r="94" spans="1:12" x14ac:dyDescent="0.2">
      <c r="A94" t="s">
        <v>9</v>
      </c>
      <c r="B94" s="18">
        <f t="shared" ref="B94:K94" si="19">+(B36+B60)/B12</f>
        <v>0.50565262076053441</v>
      </c>
      <c r="C94" s="18">
        <f t="shared" si="19"/>
        <v>0.57751479289940832</v>
      </c>
      <c r="D94" s="18">
        <f t="shared" si="19"/>
        <v>0.53521126760563376</v>
      </c>
      <c r="E94" s="18">
        <f t="shared" si="19"/>
        <v>0.5404732254047323</v>
      </c>
      <c r="F94" s="18">
        <f t="shared" si="19"/>
        <v>0.51843817787418656</v>
      </c>
      <c r="G94" s="18">
        <f t="shared" si="19"/>
        <v>0.49950563575242241</v>
      </c>
      <c r="H94" s="18">
        <f t="shared" si="19"/>
        <v>0.47424722662440572</v>
      </c>
      <c r="I94" s="18">
        <f t="shared" si="19"/>
        <v>0.51800379027163612</v>
      </c>
      <c r="J94" s="18">
        <f t="shared" si="19"/>
        <v>0.51872021783526212</v>
      </c>
      <c r="K94" s="18">
        <f t="shared" si="19"/>
        <v>0.55252387448840379</v>
      </c>
      <c r="L94" s="18">
        <f t="shared" si="12"/>
        <v>0.5125884482474905</v>
      </c>
    </row>
    <row r="95" spans="1:12" x14ac:dyDescent="0.2">
      <c r="A95" t="s">
        <v>10</v>
      </c>
      <c r="B95" s="18">
        <f t="shared" ref="B95:K95" si="20">+(B37+B61)/B13</f>
        <v>0.3987394584997781</v>
      </c>
      <c r="C95" s="18">
        <f t="shared" si="20"/>
        <v>0.42025832455457335</v>
      </c>
      <c r="D95" s="18">
        <f t="shared" si="20"/>
        <v>0.3833254317643075</v>
      </c>
      <c r="E95" s="18">
        <f t="shared" si="20"/>
        <v>0.42164235450454529</v>
      </c>
      <c r="F95" s="18">
        <f t="shared" si="20"/>
        <v>0.38655297701332225</v>
      </c>
      <c r="G95" s="18">
        <f t="shared" si="20"/>
        <v>0.37930527437959671</v>
      </c>
      <c r="H95" s="18">
        <f t="shared" si="20"/>
        <v>0.38056891172692237</v>
      </c>
      <c r="I95" s="18">
        <f t="shared" si="20"/>
        <v>0.37687257309119226</v>
      </c>
      <c r="J95" s="18">
        <f t="shared" si="20"/>
        <v>0.37939821621091835</v>
      </c>
      <c r="K95" s="18">
        <f t="shared" si="20"/>
        <v>0.40857185229126503</v>
      </c>
      <c r="L95" s="18">
        <f t="shared" si="12"/>
        <v>0.38405193132144239</v>
      </c>
    </row>
    <row r="97" spans="1:14" x14ac:dyDescent="0.2">
      <c r="A97" t="s">
        <v>52</v>
      </c>
    </row>
    <row r="98" spans="1:14" x14ac:dyDescent="0.2">
      <c r="A98" t="s">
        <v>2</v>
      </c>
      <c r="B98" s="18">
        <f>+(B41+B65)/B17</f>
        <v>9.8188013009137376E-2</v>
      </c>
      <c r="C98" s="18">
        <f t="shared" ref="C98:K98" si="21">+(C41+C65)/C17</f>
        <v>9.2972020268781666E-2</v>
      </c>
      <c r="D98" s="18">
        <f t="shared" si="21"/>
        <v>0.11042402826855123</v>
      </c>
      <c r="E98" s="18">
        <f t="shared" si="21"/>
        <v>0.1294150890081944</v>
      </c>
      <c r="F98" s="18">
        <f t="shared" si="21"/>
        <v>0.10459119496855346</v>
      </c>
      <c r="G98" s="18">
        <f t="shared" si="21"/>
        <v>0.10044449575708596</v>
      </c>
      <c r="H98" s="18">
        <f t="shared" si="21"/>
        <v>9.1223184818481851E-2</v>
      </c>
      <c r="I98" s="18">
        <f t="shared" si="21"/>
        <v>7.1346836022428195E-2</v>
      </c>
      <c r="J98" s="18">
        <f t="shared" si="21"/>
        <v>0.1198548784174837</v>
      </c>
      <c r="K98" s="18">
        <f t="shared" si="21"/>
        <v>0.12914261278597391</v>
      </c>
      <c r="L98" s="18">
        <f t="shared" ref="L98:L106" si="22">+(L41+L65)/L17</f>
        <v>9.8441902495425615E-2</v>
      </c>
    </row>
    <row r="99" spans="1:14" x14ac:dyDescent="0.2">
      <c r="A99" t="s">
        <v>3</v>
      </c>
      <c r="B99" s="18">
        <f t="shared" ref="B99:K99" si="23">+(B42+B66)/B18</f>
        <v>0.43835837776700598</v>
      </c>
      <c r="C99" s="18">
        <f t="shared" si="23"/>
        <v>0.43646549528902467</v>
      </c>
      <c r="D99" s="18">
        <f t="shared" si="23"/>
        <v>0.44220020325203252</v>
      </c>
      <c r="E99" s="18">
        <f t="shared" si="23"/>
        <v>0.43471486444375196</v>
      </c>
      <c r="F99" s="18">
        <f t="shared" si="23"/>
        <v>0.46941151566469091</v>
      </c>
      <c r="G99" s="18">
        <f t="shared" si="23"/>
        <v>0.45071082325145628</v>
      </c>
      <c r="H99" s="18">
        <f t="shared" si="23"/>
        <v>0.42509745684054207</v>
      </c>
      <c r="I99" s="18">
        <f t="shared" si="23"/>
        <v>0.40947465563796698</v>
      </c>
      <c r="J99" s="18">
        <f t="shared" si="23"/>
        <v>0.46854707792207795</v>
      </c>
      <c r="K99" s="18">
        <f t="shared" si="23"/>
        <v>0.44422354760326926</v>
      </c>
      <c r="L99" s="18">
        <f t="shared" si="22"/>
        <v>0.44060440777451687</v>
      </c>
    </row>
    <row r="100" spans="1:14" x14ac:dyDescent="0.2">
      <c r="A100" t="s">
        <v>4</v>
      </c>
      <c r="B100" s="18">
        <f t="shared" ref="B100:K100" si="24">+(B43+B67)/B19</f>
        <v>0.51937883335508284</v>
      </c>
      <c r="C100" s="18">
        <f t="shared" si="24"/>
        <v>0.53342618384401119</v>
      </c>
      <c r="D100" s="18">
        <f t="shared" si="24"/>
        <v>0.52688638334778837</v>
      </c>
      <c r="E100" s="18">
        <f t="shared" si="24"/>
        <v>0.513916015625</v>
      </c>
      <c r="F100" s="18">
        <f t="shared" si="24"/>
        <v>0.54256157635467983</v>
      </c>
      <c r="G100" s="18">
        <f t="shared" si="24"/>
        <v>0.53199951371159626</v>
      </c>
      <c r="H100" s="18">
        <f t="shared" si="24"/>
        <v>0.50713169699107907</v>
      </c>
      <c r="I100" s="18">
        <f t="shared" si="24"/>
        <v>0.51724458060622935</v>
      </c>
      <c r="J100" s="18">
        <f t="shared" si="24"/>
        <v>0.5343201548935107</v>
      </c>
      <c r="K100" s="18">
        <f t="shared" si="24"/>
        <v>0.52351313969571234</v>
      </c>
      <c r="L100" s="18">
        <f t="shared" si="22"/>
        <v>0.52505887999642809</v>
      </c>
    </row>
    <row r="101" spans="1:14" x14ac:dyDescent="0.2">
      <c r="A101" t="s">
        <v>5</v>
      </c>
      <c r="B101" s="18">
        <f t="shared" ref="B101:K101" si="25">+(B44+B68)/B20</f>
        <v>0.55975958222484978</v>
      </c>
      <c r="C101" s="18">
        <f t="shared" si="25"/>
        <v>0.57134299748412598</v>
      </c>
      <c r="D101" s="18">
        <f t="shared" si="25"/>
        <v>0.55897009966777411</v>
      </c>
      <c r="E101" s="18">
        <f t="shared" si="25"/>
        <v>0.5446732318710833</v>
      </c>
      <c r="F101" s="18">
        <f t="shared" si="25"/>
        <v>0.57074893678368055</v>
      </c>
      <c r="G101" s="18">
        <f t="shared" si="25"/>
        <v>0.56501547987616096</v>
      </c>
      <c r="H101" s="18">
        <f t="shared" si="25"/>
        <v>0.55476850019786306</v>
      </c>
      <c r="I101" s="18">
        <f t="shared" si="25"/>
        <v>0.55923410847127908</v>
      </c>
      <c r="J101" s="18">
        <f t="shared" si="25"/>
        <v>0.5688381464069846</v>
      </c>
      <c r="K101" s="18">
        <f t="shared" si="25"/>
        <v>0.55764257520076221</v>
      </c>
      <c r="L101" s="18">
        <f t="shared" si="22"/>
        <v>0.5620615946999703</v>
      </c>
    </row>
    <row r="102" spans="1:14" x14ac:dyDescent="0.2">
      <c r="A102" t="s">
        <v>6</v>
      </c>
      <c r="B102" s="18">
        <f t="shared" ref="B102:K102" si="26">+(B45+B69)/B21</f>
        <v>0.58331586669461333</v>
      </c>
      <c r="C102" s="18">
        <f t="shared" si="26"/>
        <v>0.58123872519542996</v>
      </c>
      <c r="D102" s="18">
        <f t="shared" si="26"/>
        <v>0.58621007088281318</v>
      </c>
      <c r="E102" s="18">
        <f t="shared" si="26"/>
        <v>0.58483071685265742</v>
      </c>
      <c r="F102" s="18">
        <f t="shared" si="26"/>
        <v>0.59111250686974959</v>
      </c>
      <c r="G102" s="18">
        <f t="shared" si="26"/>
        <v>0.58697364435019694</v>
      </c>
      <c r="H102" s="18">
        <f t="shared" si="26"/>
        <v>0.58862328902995442</v>
      </c>
      <c r="I102" s="18">
        <f t="shared" si="26"/>
        <v>0.58196641280999806</v>
      </c>
      <c r="J102" s="18">
        <f t="shared" si="26"/>
        <v>0.59411101718794024</v>
      </c>
      <c r="K102" s="18">
        <f t="shared" si="26"/>
        <v>0.58428485576923073</v>
      </c>
      <c r="L102" s="18">
        <f t="shared" si="22"/>
        <v>0.58619973855915797</v>
      </c>
    </row>
    <row r="103" spans="1:14" x14ac:dyDescent="0.2">
      <c r="A103" t="s">
        <v>7</v>
      </c>
      <c r="B103" s="18">
        <f t="shared" ref="B103:K103" si="27">+(B46+B70)/B22</f>
        <v>0.62030419644493306</v>
      </c>
      <c r="C103" s="18">
        <f t="shared" si="27"/>
        <v>0.61919504643962853</v>
      </c>
      <c r="D103" s="18">
        <f t="shared" si="27"/>
        <v>0.62684850476503451</v>
      </c>
      <c r="E103" s="18">
        <f t="shared" si="27"/>
        <v>0.62473412336675782</v>
      </c>
      <c r="F103" s="18">
        <f t="shared" si="27"/>
        <v>0.6236385639370714</v>
      </c>
      <c r="G103" s="18">
        <f t="shared" si="27"/>
        <v>0.62097026604068861</v>
      </c>
      <c r="H103" s="18">
        <f t="shared" si="27"/>
        <v>0.61316518582210755</v>
      </c>
      <c r="I103" s="18">
        <f t="shared" si="27"/>
        <v>0.61783559577677227</v>
      </c>
      <c r="J103" s="18">
        <f t="shared" si="27"/>
        <v>0.63280246596455181</v>
      </c>
      <c r="K103" s="18">
        <f t="shared" si="27"/>
        <v>0.62125409216821958</v>
      </c>
      <c r="L103" s="18">
        <f t="shared" si="22"/>
        <v>0.62096690849713732</v>
      </c>
    </row>
    <row r="104" spans="1:14" x14ac:dyDescent="0.2">
      <c r="A104" t="s">
        <v>8</v>
      </c>
      <c r="B104" s="18">
        <f t="shared" ref="B104:K104" si="28">+(B47+B71)/B23</f>
        <v>0.64416983523447402</v>
      </c>
      <c r="C104" s="18">
        <f t="shared" si="28"/>
        <v>0.66952109102442114</v>
      </c>
      <c r="D104" s="18">
        <f t="shared" si="28"/>
        <v>0.66372863247863245</v>
      </c>
      <c r="E104" s="18">
        <f t="shared" si="28"/>
        <v>0.67350746268656714</v>
      </c>
      <c r="F104" s="18">
        <f t="shared" si="28"/>
        <v>0.67121387283237</v>
      </c>
      <c r="G104" s="18">
        <f t="shared" si="28"/>
        <v>0.64977842449897483</v>
      </c>
      <c r="H104" s="18">
        <f t="shared" si="28"/>
        <v>0.64968749999999997</v>
      </c>
      <c r="I104" s="18">
        <f t="shared" si="28"/>
        <v>0.64246823956442833</v>
      </c>
      <c r="J104" s="18">
        <f t="shared" si="28"/>
        <v>0.66102045032018175</v>
      </c>
      <c r="K104" s="18">
        <f t="shared" si="28"/>
        <v>0.64005235602094246</v>
      </c>
      <c r="L104" s="18">
        <f t="shared" si="22"/>
        <v>0.65307956648162835</v>
      </c>
    </row>
    <row r="105" spans="1:14" x14ac:dyDescent="0.2">
      <c r="A105" t="s">
        <v>9</v>
      </c>
      <c r="B105" s="18">
        <f t="shared" ref="B105:K105" si="29">+(B48+B72)/B24</f>
        <v>0.53601108033240996</v>
      </c>
      <c r="C105" s="18">
        <f t="shared" si="29"/>
        <v>0.61892797319933002</v>
      </c>
      <c r="D105" s="18">
        <f t="shared" si="29"/>
        <v>0.63822751322751325</v>
      </c>
      <c r="E105" s="18">
        <f t="shared" si="29"/>
        <v>0.60062240663900412</v>
      </c>
      <c r="F105" s="18">
        <f t="shared" si="29"/>
        <v>0.67984382625671058</v>
      </c>
      <c r="G105" s="18">
        <f t="shared" si="29"/>
        <v>0.58922313084112155</v>
      </c>
      <c r="H105" s="18">
        <f t="shared" si="29"/>
        <v>0.60617637695001592</v>
      </c>
      <c r="I105" s="18">
        <f t="shared" si="29"/>
        <v>0.61289626913952988</v>
      </c>
      <c r="J105" s="18">
        <f t="shared" si="29"/>
        <v>0.62983151635282453</v>
      </c>
      <c r="K105" s="18">
        <f t="shared" si="29"/>
        <v>0.59014675052410903</v>
      </c>
      <c r="L105" s="18">
        <f t="shared" si="22"/>
        <v>0.60841646137070393</v>
      </c>
    </row>
    <row r="106" spans="1:14" x14ac:dyDescent="0.2">
      <c r="A106" t="s">
        <v>10</v>
      </c>
      <c r="B106" s="18">
        <f t="shared" ref="B106:K106" si="30">+(B49+B73)/B25</f>
        <v>0.41216216216216217</v>
      </c>
      <c r="C106" s="18">
        <f t="shared" si="30"/>
        <v>0.44025262453469405</v>
      </c>
      <c r="D106" s="18">
        <f t="shared" si="30"/>
        <v>0.39166461350934295</v>
      </c>
      <c r="E106" s="18">
        <f t="shared" si="30"/>
        <v>0.42870972621388592</v>
      </c>
      <c r="F106" s="18">
        <f t="shared" si="30"/>
        <v>0.40380170111537511</v>
      </c>
      <c r="G106" s="18">
        <f t="shared" si="30"/>
        <v>0.38796569184045759</v>
      </c>
      <c r="H106" s="18">
        <f t="shared" si="30"/>
        <v>0.38969579022841339</v>
      </c>
      <c r="I106" s="18">
        <f t="shared" si="30"/>
        <v>0.38964782554204785</v>
      </c>
      <c r="J106" s="18">
        <f t="shared" si="30"/>
        <v>0.38248215489309179</v>
      </c>
      <c r="K106" s="18">
        <f t="shared" si="30"/>
        <v>0.41438434456586348</v>
      </c>
      <c r="L106" s="18">
        <f t="shared" si="22"/>
        <v>0.39421559169597487</v>
      </c>
    </row>
    <row r="108" spans="1:14" x14ac:dyDescent="0.2">
      <c r="A108" t="s">
        <v>53</v>
      </c>
      <c r="B108" t="s">
        <v>41</v>
      </c>
      <c r="C108" t="s">
        <v>42</v>
      </c>
      <c r="D108" t="s">
        <v>43</v>
      </c>
      <c r="E108" t="s">
        <v>44</v>
      </c>
      <c r="F108" t="s">
        <v>45</v>
      </c>
      <c r="G108" t="s">
        <v>46</v>
      </c>
      <c r="H108" t="s">
        <v>47</v>
      </c>
      <c r="I108" t="s">
        <v>48</v>
      </c>
      <c r="J108" t="s">
        <v>49</v>
      </c>
      <c r="K108" t="s">
        <v>50</v>
      </c>
    </row>
    <row r="109" spans="1:14" x14ac:dyDescent="0.2">
      <c r="A109" t="s">
        <v>2</v>
      </c>
      <c r="B109" s="18">
        <f>+B98-B87</f>
        <v>-2.6412625968498402E-2</v>
      </c>
      <c r="C109" s="18">
        <f t="shared" ref="C109:K109" si="31">+C98-C87</f>
        <v>-1.4333368952775219E-2</v>
      </c>
      <c r="D109" s="18">
        <f t="shared" si="31"/>
        <v>-1.2845137553806077E-2</v>
      </c>
      <c r="E109" s="18">
        <f t="shared" si="31"/>
        <v>-2.4755087908402057E-2</v>
      </c>
      <c r="F109" s="18">
        <f t="shared" si="31"/>
        <v>-1.3965506062374372E-2</v>
      </c>
      <c r="G109" s="18">
        <f t="shared" si="31"/>
        <v>-2.3210942249199729E-2</v>
      </c>
      <c r="H109" s="18">
        <f t="shared" si="31"/>
        <v>-2.0203694992056931E-2</v>
      </c>
      <c r="I109" s="18">
        <f t="shared" si="31"/>
        <v>-1.7613285302495119E-2</v>
      </c>
      <c r="J109" s="18">
        <f t="shared" si="31"/>
        <v>-3.2101216441788247E-2</v>
      </c>
      <c r="K109" s="18">
        <f t="shared" si="31"/>
        <v>-1.7657016156512162E-2</v>
      </c>
      <c r="L109" s="18">
        <f t="shared" ref="L109:L117" si="32">+L98-L87</f>
        <v>-2.1464950978914057E-2</v>
      </c>
      <c r="M109" s="18">
        <f t="shared" ref="M109:M117" si="33">STDEV(B109:K109)</f>
        <v>6.2402625337793349E-3</v>
      </c>
      <c r="N109" t="s">
        <v>57</v>
      </c>
    </row>
    <row r="110" spans="1:14" x14ac:dyDescent="0.2">
      <c r="A110" t="s">
        <v>3</v>
      </c>
      <c r="B110" s="18">
        <f t="shared" ref="B110:K110" si="34">+B99-B88</f>
        <v>-3.176864120743339E-2</v>
      </c>
      <c r="C110" s="18">
        <f t="shared" si="34"/>
        <v>-4.8423692085051873E-2</v>
      </c>
      <c r="D110" s="18">
        <f t="shared" si="34"/>
        <v>-3.0766187395799893E-2</v>
      </c>
      <c r="E110" s="18">
        <f t="shared" si="34"/>
        <v>-5.8910412718110594E-2</v>
      </c>
      <c r="F110" s="18">
        <f t="shared" si="34"/>
        <v>-2.7389970096761806E-2</v>
      </c>
      <c r="G110" s="18">
        <f t="shared" si="34"/>
        <v>-2.9764527567734067E-2</v>
      </c>
      <c r="H110" s="18">
        <f t="shared" si="34"/>
        <v>-4.1770369452204359E-2</v>
      </c>
      <c r="I110" s="18">
        <f t="shared" si="34"/>
        <v>-4.4812946939551346E-2</v>
      </c>
      <c r="J110" s="18">
        <f t="shared" si="34"/>
        <v>-2.2928331913987632E-2</v>
      </c>
      <c r="K110" s="18">
        <f t="shared" si="34"/>
        <v>-4.3576243846157214E-2</v>
      </c>
      <c r="L110" s="18">
        <f t="shared" si="32"/>
        <v>-3.4370757943553099E-2</v>
      </c>
      <c r="M110" s="18">
        <f t="shared" si="33"/>
        <v>1.1236511427278726E-2</v>
      </c>
    </row>
    <row r="111" spans="1:14" x14ac:dyDescent="0.2">
      <c r="A111" t="s">
        <v>4</v>
      </c>
      <c r="B111" s="18">
        <f t="shared" ref="B111:K111" si="35">+B100-B89</f>
        <v>-1.3333425802232401E-2</v>
      </c>
      <c r="C111" s="18">
        <f t="shared" si="35"/>
        <v>-1.8142691912285458E-2</v>
      </c>
      <c r="D111" s="18">
        <f t="shared" si="35"/>
        <v>-8.1362256446184666E-3</v>
      </c>
      <c r="E111" s="18">
        <f t="shared" si="35"/>
        <v>-2.4574910831542507E-2</v>
      </c>
      <c r="F111" s="18">
        <f t="shared" si="35"/>
        <v>-7.5434826399863875E-3</v>
      </c>
      <c r="G111" s="18">
        <f t="shared" si="35"/>
        <v>-9.9304606692748321E-3</v>
      </c>
      <c r="H111" s="18">
        <f t="shared" si="35"/>
        <v>-2.0784010893140414E-2</v>
      </c>
      <c r="I111" s="18">
        <f t="shared" si="35"/>
        <v>-1.8083643562921803E-2</v>
      </c>
      <c r="J111" s="18">
        <f t="shared" si="35"/>
        <v>-2.3534774462022678E-2</v>
      </c>
      <c r="K111" s="18">
        <f t="shared" si="35"/>
        <v>-8.4569503393860934E-3</v>
      </c>
      <c r="L111" s="18">
        <f t="shared" si="32"/>
        <v>-1.4671383726619802E-2</v>
      </c>
      <c r="M111" s="18">
        <f t="shared" si="33"/>
        <v>6.5889331534586329E-3</v>
      </c>
    </row>
    <row r="112" spans="1:14" x14ac:dyDescent="0.2">
      <c r="A112" t="s">
        <v>5</v>
      </c>
      <c r="B112" s="18">
        <f t="shared" ref="B112:K112" si="36">+B101-B90</f>
        <v>2.8806864100680007E-3</v>
      </c>
      <c r="C112" s="18">
        <f t="shared" si="36"/>
        <v>1.4712377108485719E-2</v>
      </c>
      <c r="D112" s="18">
        <f t="shared" si="36"/>
        <v>-1.2588200368549907E-2</v>
      </c>
      <c r="E112" s="18">
        <f t="shared" si="36"/>
        <v>-2.1326768128916651E-2</v>
      </c>
      <c r="F112" s="18">
        <f t="shared" si="36"/>
        <v>-5.8343346224791759E-3</v>
      </c>
      <c r="G112" s="18">
        <f t="shared" si="36"/>
        <v>-5.6612255934028743E-3</v>
      </c>
      <c r="H112" s="18">
        <f t="shared" si="36"/>
        <v>-1.3308422879059978E-2</v>
      </c>
      <c r="I112" s="18">
        <f t="shared" si="36"/>
        <v>-5.7906925438322432E-3</v>
      </c>
      <c r="J112" s="18">
        <f t="shared" si="36"/>
        <v>-2.4640113766924987E-3</v>
      </c>
      <c r="K112" s="18">
        <f t="shared" si="36"/>
        <v>-8.9287625812524141E-3</v>
      </c>
      <c r="L112" s="18">
        <f t="shared" si="32"/>
        <v>-6.0033667644889821E-3</v>
      </c>
      <c r="M112" s="18">
        <f t="shared" si="33"/>
        <v>9.7785335601594733E-3</v>
      </c>
    </row>
    <row r="113" spans="1:14" x14ac:dyDescent="0.2">
      <c r="A113" t="s">
        <v>6</v>
      </c>
      <c r="B113" s="18">
        <f t="shared" ref="B113:K113" si="37">+B102-B91</f>
        <v>-6.531849041427229E-3</v>
      </c>
      <c r="C113" s="18">
        <f t="shared" si="37"/>
        <v>-4.0165478185657522E-3</v>
      </c>
      <c r="D113" s="18">
        <f t="shared" si="37"/>
        <v>-4.5742711654317425E-3</v>
      </c>
      <c r="E113" s="18">
        <f t="shared" si="37"/>
        <v>5.1619561444906648E-3</v>
      </c>
      <c r="F113" s="18">
        <f t="shared" si="37"/>
        <v>-1.4365127380935316E-3</v>
      </c>
      <c r="G113" s="18">
        <f t="shared" si="37"/>
        <v>-4.7609975055257214E-3</v>
      </c>
      <c r="H113" s="18">
        <f t="shared" si="37"/>
        <v>2.5009090434771064E-3</v>
      </c>
      <c r="I113" s="18">
        <f t="shared" si="37"/>
        <v>-6.5385814588737601E-3</v>
      </c>
      <c r="J113" s="18">
        <f t="shared" si="37"/>
        <v>-3.7582641611488832E-4</v>
      </c>
      <c r="K113" s="18">
        <f t="shared" si="37"/>
        <v>3.4018047832873322E-5</v>
      </c>
      <c r="L113" s="18">
        <f t="shared" si="32"/>
        <v>-3.355154336090016E-3</v>
      </c>
      <c r="M113" s="18">
        <f t="shared" si="33"/>
        <v>3.9167502755857973E-3</v>
      </c>
    </row>
    <row r="114" spans="1:14" x14ac:dyDescent="0.2">
      <c r="A114" t="s">
        <v>7</v>
      </c>
      <c r="B114" s="18">
        <f t="shared" ref="B114:K114" si="38">+B103-B92</f>
        <v>8.5394905625800765E-3</v>
      </c>
      <c r="C114" s="18">
        <f t="shared" si="38"/>
        <v>-4.1905624164599864E-3</v>
      </c>
      <c r="D114" s="18">
        <f t="shared" si="38"/>
        <v>-3.9468212809511405E-3</v>
      </c>
      <c r="E114" s="18">
        <f t="shared" si="38"/>
        <v>-2.5409784532186896E-2</v>
      </c>
      <c r="F114" s="18">
        <f t="shared" si="38"/>
        <v>-5.724705664752805E-3</v>
      </c>
      <c r="G114" s="18">
        <f t="shared" si="38"/>
        <v>-3.2580557372580143E-3</v>
      </c>
      <c r="H114" s="18">
        <f t="shared" si="38"/>
        <v>-4.3614317045099771E-3</v>
      </c>
      <c r="I114" s="18">
        <f t="shared" si="38"/>
        <v>-8.3139958368363409E-3</v>
      </c>
      <c r="J114" s="18">
        <f t="shared" si="38"/>
        <v>6.9148920000547953E-3</v>
      </c>
      <c r="K114" s="18">
        <f t="shared" si="38"/>
        <v>-1.0799427319854837E-2</v>
      </c>
      <c r="L114" s="18">
        <f t="shared" si="32"/>
        <v>-4.4879155099100121E-3</v>
      </c>
      <c r="M114" s="18">
        <f t="shared" si="33"/>
        <v>9.3817737267105506E-3</v>
      </c>
    </row>
    <row r="115" spans="1:14" x14ac:dyDescent="0.2">
      <c r="A115" t="s">
        <v>8</v>
      </c>
      <c r="B115" s="18">
        <f t="shared" ref="B115:K115" si="39">+B104-B93</f>
        <v>1.0637694744083048E-2</v>
      </c>
      <c r="C115" s="18">
        <f t="shared" si="39"/>
        <v>4.2599899988127188E-4</v>
      </c>
      <c r="D115" s="18">
        <f t="shared" si="39"/>
        <v>1.5813155608272678E-2</v>
      </c>
      <c r="E115" s="18">
        <f t="shared" si="39"/>
        <v>-6.7490650275876529E-3</v>
      </c>
      <c r="F115" s="18">
        <f t="shared" si="39"/>
        <v>4.0460465786857025E-2</v>
      </c>
      <c r="G115" s="18">
        <f t="shared" si="39"/>
        <v>1.3944686382258431E-2</v>
      </c>
      <c r="H115" s="18">
        <f t="shared" si="39"/>
        <v>5.9759483937115165E-3</v>
      </c>
      <c r="I115" s="18">
        <f t="shared" si="39"/>
        <v>8.6654226630198394E-3</v>
      </c>
      <c r="J115" s="18">
        <f t="shared" si="39"/>
        <v>9.7830534365886956E-3</v>
      </c>
      <c r="K115" s="18">
        <f t="shared" si="39"/>
        <v>-3.1886188940648097E-2</v>
      </c>
      <c r="L115" s="18">
        <f t="shared" si="32"/>
        <v>9.9806790623487851E-3</v>
      </c>
      <c r="M115" s="18">
        <f t="shared" si="33"/>
        <v>1.8299471275027117E-2</v>
      </c>
      <c r="N115" t="s">
        <v>58</v>
      </c>
    </row>
    <row r="116" spans="1:14" x14ac:dyDescent="0.2">
      <c r="A116" t="s">
        <v>9</v>
      </c>
      <c r="B116" s="18">
        <f t="shared" ref="B116:K116" si="40">+B105-B94</f>
        <v>3.0358459571875551E-2</v>
      </c>
      <c r="C116" s="18">
        <f t="shared" si="40"/>
        <v>4.1413180299921692E-2</v>
      </c>
      <c r="D116" s="18">
        <f t="shared" si="40"/>
        <v>0.1030162456218795</v>
      </c>
      <c r="E116" s="18">
        <f t="shared" si="40"/>
        <v>6.014918123427182E-2</v>
      </c>
      <c r="F116" s="18">
        <f t="shared" si="40"/>
        <v>0.16140564838252403</v>
      </c>
      <c r="G116" s="18">
        <f t="shared" si="40"/>
        <v>8.971749508869914E-2</v>
      </c>
      <c r="H116" s="18">
        <f t="shared" si="40"/>
        <v>0.1319291503256102</v>
      </c>
      <c r="I116" s="18">
        <f t="shared" si="40"/>
        <v>9.4892478867893759E-2</v>
      </c>
      <c r="J116" s="18">
        <f t="shared" si="40"/>
        <v>0.11111129851756241</v>
      </c>
      <c r="K116" s="18">
        <f t="shared" si="40"/>
        <v>3.7622876035705244E-2</v>
      </c>
      <c r="L116" s="18">
        <f t="shared" si="32"/>
        <v>9.5828013123213429E-2</v>
      </c>
      <c r="M116" s="18">
        <f t="shared" si="33"/>
        <v>4.3334410053371721E-2</v>
      </c>
    </row>
    <row r="117" spans="1:14" x14ac:dyDescent="0.2">
      <c r="A117" t="s">
        <v>10</v>
      </c>
      <c r="B117" s="18">
        <f t="shared" ref="B117:K117" si="41">+B106-B95</f>
        <v>1.3422703662384072E-2</v>
      </c>
      <c r="C117" s="18">
        <f t="shared" si="41"/>
        <v>1.99942999801207E-2</v>
      </c>
      <c r="D117" s="18">
        <f t="shared" si="41"/>
        <v>8.3391817450354511E-3</v>
      </c>
      <c r="E117" s="18">
        <f t="shared" si="41"/>
        <v>7.0673717093406307E-3</v>
      </c>
      <c r="F117" s="18">
        <f t="shared" si="41"/>
        <v>1.7248724102052859E-2</v>
      </c>
      <c r="G117" s="18">
        <f t="shared" si="41"/>
        <v>8.6604174608608808E-3</v>
      </c>
      <c r="H117" s="18">
        <f t="shared" si="41"/>
        <v>9.1268785014910203E-3</v>
      </c>
      <c r="I117" s="18">
        <f t="shared" si="41"/>
        <v>1.277525245085559E-2</v>
      </c>
      <c r="J117" s="18">
        <f t="shared" si="41"/>
        <v>3.0839386821734371E-3</v>
      </c>
      <c r="K117" s="18">
        <f t="shared" si="41"/>
        <v>5.8124922745984575E-3</v>
      </c>
      <c r="L117" s="18">
        <f t="shared" si="32"/>
        <v>1.0163660374532479E-2</v>
      </c>
      <c r="M117" s="18">
        <f t="shared" si="33"/>
        <v>5.2500798827619663E-3</v>
      </c>
      <c r="N117" t="s">
        <v>59</v>
      </c>
    </row>
    <row r="119" spans="1:14" x14ac:dyDescent="0.2">
      <c r="A119" t="s">
        <v>55</v>
      </c>
    </row>
    <row r="120" spans="1:14" x14ac:dyDescent="0.2">
      <c r="A120" t="s">
        <v>2</v>
      </c>
      <c r="B120" s="19">
        <f>+B29/(B29+B53)</f>
        <v>0.20897435897435898</v>
      </c>
      <c r="C120" s="19">
        <f t="shared" ref="C120:K120" si="42">+C29/(C29+C53)</f>
        <v>0.2611607142857143</v>
      </c>
      <c r="D120" s="19">
        <f t="shared" si="42"/>
        <v>0.12739726027397261</v>
      </c>
      <c r="E120" s="19">
        <f t="shared" si="42"/>
        <v>0.1766848816029144</v>
      </c>
      <c r="F120" s="19">
        <f t="shared" si="42"/>
        <v>0.10928319623971798</v>
      </c>
      <c r="G120" s="19">
        <f t="shared" si="42"/>
        <v>0.11741542867370681</v>
      </c>
      <c r="H120" s="19">
        <f t="shared" si="42"/>
        <v>0.16737513283740701</v>
      </c>
      <c r="I120" s="19">
        <f t="shared" si="42"/>
        <v>0.17241379310344829</v>
      </c>
      <c r="J120" s="19">
        <f t="shared" si="42"/>
        <v>9.5427435387673953E-2</v>
      </c>
      <c r="K120" s="19">
        <f t="shared" si="42"/>
        <v>0.2132701421800948</v>
      </c>
      <c r="L120" s="19">
        <f t="shared" ref="L120:L128" si="43">+L29/(L29+L53)</f>
        <v>0.13884120171673819</v>
      </c>
    </row>
    <row r="121" spans="1:14" x14ac:dyDescent="0.2">
      <c r="A121" t="s">
        <v>3</v>
      </c>
      <c r="B121" s="19">
        <f t="shared" ref="B121:K121" si="44">+B30/(B30+B54)</f>
        <v>0.53202134756504338</v>
      </c>
      <c r="C121" s="19">
        <f t="shared" si="44"/>
        <v>0.53554939981532779</v>
      </c>
      <c r="D121" s="19">
        <f t="shared" si="44"/>
        <v>0.49974253347064884</v>
      </c>
      <c r="E121" s="19">
        <f t="shared" si="44"/>
        <v>0.52274003368893884</v>
      </c>
      <c r="F121" s="19">
        <f t="shared" si="44"/>
        <v>0.42782969885773625</v>
      </c>
      <c r="G121" s="19">
        <f t="shared" si="44"/>
        <v>0.45070530219045069</v>
      </c>
      <c r="H121" s="19">
        <f t="shared" si="44"/>
        <v>0.48447598529970853</v>
      </c>
      <c r="I121" s="19">
        <f t="shared" si="44"/>
        <v>0.56392071285688306</v>
      </c>
      <c r="J121" s="19">
        <f t="shared" si="44"/>
        <v>0.43375583722481653</v>
      </c>
      <c r="K121" s="19">
        <f t="shared" si="44"/>
        <v>0.5404018811457888</v>
      </c>
      <c r="L121" s="19">
        <f t="shared" si="43"/>
        <v>0.48823413350871425</v>
      </c>
    </row>
    <row r="122" spans="1:14" x14ac:dyDescent="0.2">
      <c r="A122" t="s">
        <v>4</v>
      </c>
      <c r="B122" s="19">
        <f t="shared" ref="B122:K122" si="45">+B31/(B31+B55)</f>
        <v>0.71780604133545312</v>
      </c>
      <c r="C122" s="19">
        <f t="shared" si="45"/>
        <v>0.7321428571428571</v>
      </c>
      <c r="D122" s="19">
        <f t="shared" si="45"/>
        <v>0.73497049912294687</v>
      </c>
      <c r="E122" s="19">
        <f t="shared" si="45"/>
        <v>0.71585668676835756</v>
      </c>
      <c r="F122" s="19">
        <f t="shared" si="45"/>
        <v>0.69311003378874692</v>
      </c>
      <c r="G122" s="19">
        <f t="shared" si="45"/>
        <v>0.69046118289736313</v>
      </c>
      <c r="H122" s="19">
        <f t="shared" si="45"/>
        <v>0.71606637608014068</v>
      </c>
      <c r="I122" s="19">
        <f t="shared" si="45"/>
        <v>0.7856020226868935</v>
      </c>
      <c r="J122" s="19">
        <f t="shared" si="45"/>
        <v>0.69390829488748706</v>
      </c>
      <c r="K122" s="19">
        <f t="shared" si="45"/>
        <v>0.71342512908777966</v>
      </c>
      <c r="L122" s="19">
        <f t="shared" si="43"/>
        <v>0.72317950694019784</v>
      </c>
    </row>
    <row r="123" spans="1:14" x14ac:dyDescent="0.2">
      <c r="A123" t="s">
        <v>5</v>
      </c>
      <c r="B123" s="19">
        <f t="shared" ref="B123:K123" si="46">+B32/(B32+B56)</f>
        <v>0.82130721567059761</v>
      </c>
      <c r="C123" s="19">
        <f t="shared" si="46"/>
        <v>0.82975460122699385</v>
      </c>
      <c r="D123" s="19">
        <f t="shared" si="46"/>
        <v>0.79456625357483313</v>
      </c>
      <c r="E123" s="19">
        <f t="shared" si="46"/>
        <v>0.80989399293286224</v>
      </c>
      <c r="F123" s="19">
        <f t="shared" si="46"/>
        <v>0.79321208649577546</v>
      </c>
      <c r="G123" s="19">
        <f t="shared" si="46"/>
        <v>0.75381068272063534</v>
      </c>
      <c r="H123" s="19">
        <f t="shared" si="46"/>
        <v>0.79510832769126605</v>
      </c>
      <c r="I123" s="19">
        <f t="shared" si="46"/>
        <v>0.83144828712588292</v>
      </c>
      <c r="J123" s="19">
        <f t="shared" si="46"/>
        <v>0.76897414512093409</v>
      </c>
      <c r="K123" s="19">
        <f t="shared" si="46"/>
        <v>0.79613011777902409</v>
      </c>
      <c r="L123" s="19">
        <f t="shared" si="43"/>
        <v>0.79201270618852615</v>
      </c>
    </row>
    <row r="124" spans="1:14" x14ac:dyDescent="0.2">
      <c r="A124" t="s">
        <v>6</v>
      </c>
      <c r="B124" s="19">
        <f t="shared" ref="B124:K124" si="47">+B33/(B33+B57)</f>
        <v>0.85943775100401609</v>
      </c>
      <c r="C124" s="19">
        <f t="shared" si="47"/>
        <v>0.88211519029976426</v>
      </c>
      <c r="D124" s="19">
        <f t="shared" si="47"/>
        <v>0.82958435207823966</v>
      </c>
      <c r="E124" s="19">
        <f t="shared" si="47"/>
        <v>0.83497536945812811</v>
      </c>
      <c r="F124" s="19">
        <f t="shared" si="47"/>
        <v>0.82903154643723809</v>
      </c>
      <c r="G124" s="19">
        <f t="shared" si="47"/>
        <v>0.77157934413871088</v>
      </c>
      <c r="H124" s="19">
        <f t="shared" si="47"/>
        <v>0.80836337418889692</v>
      </c>
      <c r="I124" s="19">
        <f t="shared" si="47"/>
        <v>0.84397607122982754</v>
      </c>
      <c r="J124" s="19">
        <f t="shared" si="47"/>
        <v>0.80015328607012837</v>
      </c>
      <c r="K124" s="19">
        <f t="shared" si="47"/>
        <v>0.81728799672265462</v>
      </c>
      <c r="L124" s="19">
        <f t="shared" si="43"/>
        <v>0.81515854601701465</v>
      </c>
    </row>
    <row r="125" spans="1:14" x14ac:dyDescent="0.2">
      <c r="A125" t="s">
        <v>7</v>
      </c>
      <c r="B125" s="19">
        <f t="shared" ref="B125:K125" si="48">+B34/(B34+B58)</f>
        <v>0.85667634252539915</v>
      </c>
      <c r="C125" s="19">
        <f t="shared" si="48"/>
        <v>0.89456159822419534</v>
      </c>
      <c r="D125" s="19">
        <f t="shared" si="48"/>
        <v>0.82372273677920527</v>
      </c>
      <c r="E125" s="19">
        <f t="shared" si="48"/>
        <v>0.79094933595671424</v>
      </c>
      <c r="F125" s="19">
        <f t="shared" si="48"/>
        <v>0.83723522853957633</v>
      </c>
      <c r="G125" s="19">
        <f t="shared" si="48"/>
        <v>0.74225941422594144</v>
      </c>
      <c r="H125" s="19">
        <f t="shared" si="48"/>
        <v>0.8025767336112164</v>
      </c>
      <c r="I125" s="19">
        <f t="shared" si="48"/>
        <v>0.8343262119967132</v>
      </c>
      <c r="J125" s="19">
        <f t="shared" si="48"/>
        <v>0.79390215079177495</v>
      </c>
      <c r="K125" s="19">
        <f t="shared" si="48"/>
        <v>0.82374597330878974</v>
      </c>
      <c r="L125" s="19">
        <f t="shared" si="43"/>
        <v>0.80451112471933051</v>
      </c>
    </row>
    <row r="126" spans="1:14" x14ac:dyDescent="0.2">
      <c r="A126" t="s">
        <v>8</v>
      </c>
      <c r="B126" s="19">
        <f t="shared" ref="B126:K126" si="49">+B35/(B35+B59)</f>
        <v>0.76673640167364021</v>
      </c>
      <c r="C126" s="19">
        <f t="shared" si="49"/>
        <v>0.84756446991404011</v>
      </c>
      <c r="D126" s="19">
        <f t="shared" si="49"/>
        <v>0.75760246804759801</v>
      </c>
      <c r="E126" s="19">
        <f t="shared" si="49"/>
        <v>0.70168350168350169</v>
      </c>
      <c r="F126" s="19">
        <f t="shared" si="49"/>
        <v>0.77660008153281701</v>
      </c>
      <c r="G126" s="19">
        <f t="shared" si="49"/>
        <v>0.65939102913892833</v>
      </c>
      <c r="H126" s="19">
        <f t="shared" si="49"/>
        <v>0.69020440668967353</v>
      </c>
      <c r="I126" s="19">
        <f t="shared" si="49"/>
        <v>0.76582491582491585</v>
      </c>
      <c r="J126" s="19">
        <f t="shared" si="49"/>
        <v>0.73047149894440533</v>
      </c>
      <c r="K126" s="19">
        <f t="shared" si="49"/>
        <v>0.74781439139206451</v>
      </c>
      <c r="L126" s="19">
        <f t="shared" si="43"/>
        <v>0.72558449021564886</v>
      </c>
    </row>
    <row r="127" spans="1:14" x14ac:dyDescent="0.2">
      <c r="A127" t="s">
        <v>9</v>
      </c>
      <c r="B127" s="19">
        <f t="shared" ref="B127:K127" si="50">+B36/(B36+B60)</f>
        <v>0.67479674796747968</v>
      </c>
      <c r="C127" s="19">
        <f t="shared" si="50"/>
        <v>0.75614754098360659</v>
      </c>
      <c r="D127" s="19">
        <f t="shared" si="50"/>
        <v>0.64766081871345027</v>
      </c>
      <c r="E127" s="19">
        <f t="shared" si="50"/>
        <v>0.59677419354838712</v>
      </c>
      <c r="F127" s="19">
        <f t="shared" si="50"/>
        <v>0.70711297071129708</v>
      </c>
      <c r="G127" s="19">
        <f t="shared" si="50"/>
        <v>0.53206650831353919</v>
      </c>
      <c r="H127" s="19">
        <f t="shared" si="50"/>
        <v>0.56808688387635753</v>
      </c>
      <c r="I127" s="19">
        <f t="shared" si="50"/>
        <v>0.66036585365853662</v>
      </c>
      <c r="J127" s="19">
        <f t="shared" si="50"/>
        <v>0.6351706036745407</v>
      </c>
      <c r="K127" s="19">
        <f t="shared" si="50"/>
        <v>0.6938271604938272</v>
      </c>
      <c r="L127" s="19">
        <f t="shared" si="43"/>
        <v>0.61872659176029965</v>
      </c>
    </row>
    <row r="128" spans="1:14" x14ac:dyDescent="0.2">
      <c r="A128" t="s">
        <v>10</v>
      </c>
      <c r="B128" s="19">
        <f t="shared" ref="B128:K128" si="51">+B37/(B37+B61)</f>
        <v>0.74063849681642102</v>
      </c>
      <c r="C128" s="19">
        <f t="shared" si="51"/>
        <v>0.77805024249359711</v>
      </c>
      <c r="D128" s="19">
        <f t="shared" si="51"/>
        <v>0.70847026396692458</v>
      </c>
      <c r="E128" s="19">
        <f t="shared" si="51"/>
        <v>0.71212663849294466</v>
      </c>
      <c r="F128" s="19">
        <f t="shared" si="51"/>
        <v>0.68602443192607132</v>
      </c>
      <c r="G128" s="19">
        <f t="shared" si="51"/>
        <v>0.64897719012841371</v>
      </c>
      <c r="H128" s="19">
        <f t="shared" si="51"/>
        <v>0.69477075014948986</v>
      </c>
      <c r="I128" s="19">
        <f t="shared" si="51"/>
        <v>0.75569459193142574</v>
      </c>
      <c r="J128" s="19">
        <f t="shared" si="51"/>
        <v>0.64484159601700286</v>
      </c>
      <c r="K128" s="19">
        <f t="shared" si="51"/>
        <v>0.72008469449485779</v>
      </c>
      <c r="L128" s="19">
        <f t="shared" si="43"/>
        <v>0.69678849403505227</v>
      </c>
    </row>
    <row r="130" spans="1:14" x14ac:dyDescent="0.2">
      <c r="A130" t="s">
        <v>56</v>
      </c>
    </row>
    <row r="131" spans="1:14" x14ac:dyDescent="0.2">
      <c r="A131" t="s">
        <v>2</v>
      </c>
      <c r="B131" s="19">
        <f>+B41/(+B41+B65)</f>
        <v>0.22239747634069401</v>
      </c>
      <c r="C131" s="19">
        <f t="shared" ref="C131:K131" si="52">+C41/(+C41+C65)</f>
        <v>0.19668246445497631</v>
      </c>
      <c r="D131" s="19">
        <f t="shared" si="52"/>
        <v>0.10533333333333333</v>
      </c>
      <c r="E131" s="19">
        <f t="shared" si="52"/>
        <v>0.1943231441048035</v>
      </c>
      <c r="F131" s="19">
        <f t="shared" si="52"/>
        <v>0.10282621767889356</v>
      </c>
      <c r="G131" s="19">
        <f t="shared" si="52"/>
        <v>0.1388888888888889</v>
      </c>
      <c r="H131" s="19">
        <f t="shared" si="52"/>
        <v>0.15545505935556811</v>
      </c>
      <c r="I131" s="19">
        <f t="shared" si="52"/>
        <v>0.17882919005613473</v>
      </c>
      <c r="J131" s="19">
        <f t="shared" si="52"/>
        <v>9.117117117117117E-2</v>
      </c>
      <c r="K131" s="19">
        <f t="shared" si="52"/>
        <v>0.16887417218543047</v>
      </c>
      <c r="L131" s="19">
        <f t="shared" ref="L131:L139" si="53">+L41/(+L41+L65)</f>
        <v>0.13928958321455043</v>
      </c>
    </row>
    <row r="132" spans="1:14" x14ac:dyDescent="0.2">
      <c r="A132" t="s">
        <v>3</v>
      </c>
      <c r="B132" s="19">
        <f t="shared" ref="B132:K132" si="54">+B42/(+B42+B66)</f>
        <v>0.50866199778842613</v>
      </c>
      <c r="C132" s="19">
        <f t="shared" si="54"/>
        <v>0.49358226371061842</v>
      </c>
      <c r="D132" s="19">
        <f t="shared" si="54"/>
        <v>0.44900890548692907</v>
      </c>
      <c r="E132" s="19">
        <f t="shared" si="54"/>
        <v>0.46093189964157705</v>
      </c>
      <c r="F132" s="19">
        <f t="shared" si="54"/>
        <v>0.3591882750845547</v>
      </c>
      <c r="G132" s="19">
        <f t="shared" si="54"/>
        <v>0.43517556148041031</v>
      </c>
      <c r="H132" s="19">
        <f t="shared" si="54"/>
        <v>0.47933042212518195</v>
      </c>
      <c r="I132" s="19">
        <f t="shared" si="54"/>
        <v>0.50843071786310523</v>
      </c>
      <c r="J132" s="19">
        <f t="shared" si="54"/>
        <v>0.43828497184928539</v>
      </c>
      <c r="K132" s="19">
        <f t="shared" si="54"/>
        <v>0.49925410243659873</v>
      </c>
      <c r="L132" s="19">
        <f t="shared" si="53"/>
        <v>0.45682193072028904</v>
      </c>
    </row>
    <row r="133" spans="1:14" x14ac:dyDescent="0.2">
      <c r="A133" t="s">
        <v>4</v>
      </c>
      <c r="B133" s="19">
        <f t="shared" ref="B133:K133" si="55">+B43/(+B43+B67)</f>
        <v>0.70577889447236186</v>
      </c>
      <c r="C133" s="19">
        <f t="shared" si="55"/>
        <v>0.70137075718015662</v>
      </c>
      <c r="D133" s="19">
        <f t="shared" si="55"/>
        <v>0.69218106995884776</v>
      </c>
      <c r="E133" s="19">
        <f t="shared" si="55"/>
        <v>0.68788598574821858</v>
      </c>
      <c r="F133" s="19">
        <f t="shared" si="55"/>
        <v>0.65153441074995455</v>
      </c>
      <c r="G133" s="19">
        <f t="shared" si="55"/>
        <v>0.66639462000522331</v>
      </c>
      <c r="H133" s="19">
        <f t="shared" si="55"/>
        <v>0.70801033591731266</v>
      </c>
      <c r="I133" s="19">
        <f t="shared" si="55"/>
        <v>0.76815040832809833</v>
      </c>
      <c r="J133" s="19">
        <f t="shared" si="55"/>
        <v>0.68158971361776743</v>
      </c>
      <c r="K133" s="19">
        <f t="shared" si="55"/>
        <v>0.70079260237780716</v>
      </c>
      <c r="L133" s="19">
        <f t="shared" si="53"/>
        <v>0.7011873000350769</v>
      </c>
    </row>
    <row r="134" spans="1:14" x14ac:dyDescent="0.2">
      <c r="A134" t="s">
        <v>5</v>
      </c>
      <c r="B134" s="19">
        <f t="shared" ref="B134:K134" si="56">+B44/(+B44+B68)</f>
        <v>0.78542510121457487</v>
      </c>
      <c r="C134" s="19">
        <f t="shared" si="56"/>
        <v>0.81065212832879008</v>
      </c>
      <c r="D134" s="19">
        <f t="shared" si="56"/>
        <v>0.77310549777117388</v>
      </c>
      <c r="E134" s="19">
        <f t="shared" si="56"/>
        <v>0.75871137409598943</v>
      </c>
      <c r="F134" s="19">
        <f t="shared" si="56"/>
        <v>0.76787067441273049</v>
      </c>
      <c r="G134" s="19">
        <f t="shared" si="56"/>
        <v>0.74476608942879297</v>
      </c>
      <c r="H134" s="19">
        <f t="shared" si="56"/>
        <v>0.77894286325700834</v>
      </c>
      <c r="I134" s="19">
        <f t="shared" si="56"/>
        <v>0.82536154861983446</v>
      </c>
      <c r="J134" s="19">
        <f t="shared" si="56"/>
        <v>0.7585142130596676</v>
      </c>
      <c r="K134" s="19">
        <f t="shared" si="56"/>
        <v>0.76812301684159145</v>
      </c>
      <c r="L134" s="19">
        <f t="shared" si="53"/>
        <v>0.77775503133759571</v>
      </c>
    </row>
    <row r="135" spans="1:14" x14ac:dyDescent="0.2">
      <c r="A135" t="s">
        <v>6</v>
      </c>
      <c r="B135" s="19">
        <f t="shared" ref="B135:K135" si="57">+B45/(+B45+B69)</f>
        <v>0.8505210204814948</v>
      </c>
      <c r="C135" s="19">
        <f t="shared" si="57"/>
        <v>0.87771570453134695</v>
      </c>
      <c r="D135" s="19">
        <f t="shared" si="57"/>
        <v>0.82176507537688437</v>
      </c>
      <c r="E135" s="19">
        <f t="shared" si="57"/>
        <v>0.81856403622250973</v>
      </c>
      <c r="F135" s="19">
        <f t="shared" si="57"/>
        <v>0.82879532474432194</v>
      </c>
      <c r="G135" s="19">
        <f t="shared" si="57"/>
        <v>0.78688411780897327</v>
      </c>
      <c r="H135" s="19">
        <f t="shared" si="57"/>
        <v>0.82542758446372899</v>
      </c>
      <c r="I135" s="19">
        <f t="shared" si="57"/>
        <v>0.85391326231020892</v>
      </c>
      <c r="J135" s="19">
        <f t="shared" si="57"/>
        <v>0.79535214607540905</v>
      </c>
      <c r="K135" s="19">
        <f t="shared" si="57"/>
        <v>0.81871946515813832</v>
      </c>
      <c r="L135" s="19">
        <f t="shared" si="53"/>
        <v>0.82210056849721491</v>
      </c>
    </row>
    <row r="136" spans="1:14" x14ac:dyDescent="0.2">
      <c r="A136" t="s">
        <v>7</v>
      </c>
      <c r="B136" s="19">
        <f t="shared" ref="B136:K136" si="58">+B46/(+B46+B70)</f>
        <v>0.85701624815361888</v>
      </c>
      <c r="C136" s="19">
        <f t="shared" si="58"/>
        <v>0.90117647058823525</v>
      </c>
      <c r="D136" s="19">
        <f t="shared" si="58"/>
        <v>0.83145478374836168</v>
      </c>
      <c r="E136" s="19">
        <f t="shared" si="58"/>
        <v>0.79231517509727623</v>
      </c>
      <c r="F136" s="19">
        <f t="shared" si="58"/>
        <v>0.83570504527813716</v>
      </c>
      <c r="G136" s="19">
        <f t="shared" si="58"/>
        <v>0.76972026209677424</v>
      </c>
      <c r="H136" s="19">
        <f t="shared" si="58"/>
        <v>0.81879090059208481</v>
      </c>
      <c r="I136" s="19">
        <f t="shared" si="58"/>
        <v>0.84574305767470248</v>
      </c>
      <c r="J136" s="19">
        <f t="shared" si="58"/>
        <v>0.79399228739598138</v>
      </c>
      <c r="K136" s="19">
        <f t="shared" si="58"/>
        <v>0.82732063234698017</v>
      </c>
      <c r="L136" s="19">
        <f t="shared" si="53"/>
        <v>0.81804413673734311</v>
      </c>
    </row>
    <row r="137" spans="1:14" x14ac:dyDescent="0.2">
      <c r="A137" t="s">
        <v>8</v>
      </c>
      <c r="B137" s="19">
        <f t="shared" ref="B137:K137" si="59">+B47/(+B47+B71)</f>
        <v>0.79045745204131823</v>
      </c>
      <c r="C137" s="19">
        <f t="shared" si="59"/>
        <v>0.86309805779251536</v>
      </c>
      <c r="D137" s="19">
        <f t="shared" si="59"/>
        <v>0.75010060362173037</v>
      </c>
      <c r="E137" s="19">
        <f t="shared" si="59"/>
        <v>0.72991689750692523</v>
      </c>
      <c r="F137" s="19">
        <f t="shared" si="59"/>
        <v>0.74956941095418528</v>
      </c>
      <c r="G137" s="19">
        <f t="shared" si="59"/>
        <v>0.71335504885993484</v>
      </c>
      <c r="H137" s="19">
        <f t="shared" si="59"/>
        <v>0.72390572390572394</v>
      </c>
      <c r="I137" s="19">
        <f t="shared" si="59"/>
        <v>0.78759752488566048</v>
      </c>
      <c r="J137" s="19">
        <f t="shared" si="59"/>
        <v>0.74406249999999996</v>
      </c>
      <c r="K137" s="19">
        <f t="shared" si="59"/>
        <v>0.78050443081117926</v>
      </c>
      <c r="L137" s="19">
        <f t="shared" si="53"/>
        <v>0.75344720580695645</v>
      </c>
    </row>
    <row r="138" spans="1:14" x14ac:dyDescent="0.2">
      <c r="A138" t="s">
        <v>9</v>
      </c>
      <c r="B138" s="19">
        <f t="shared" ref="B138:K138" si="60">+B48/(+B48+B72)</f>
        <v>0.63178294573643412</v>
      </c>
      <c r="C138" s="19">
        <f t="shared" si="60"/>
        <v>0.80243572395128548</v>
      </c>
      <c r="D138" s="19">
        <f t="shared" si="60"/>
        <v>0.61243523316062176</v>
      </c>
      <c r="E138" s="19">
        <f t="shared" si="60"/>
        <v>0.63730569948186533</v>
      </c>
      <c r="F138" s="19">
        <f t="shared" si="60"/>
        <v>0.58865757358219672</v>
      </c>
      <c r="G138" s="19">
        <f t="shared" si="60"/>
        <v>0.56332094175960346</v>
      </c>
      <c r="H138" s="19">
        <f t="shared" si="60"/>
        <v>0.53151260504201681</v>
      </c>
      <c r="I138" s="19">
        <f t="shared" si="60"/>
        <v>0.6277269528501056</v>
      </c>
      <c r="J138" s="19">
        <f t="shared" si="60"/>
        <v>0.60503540519276156</v>
      </c>
      <c r="K138" s="19">
        <f t="shared" si="60"/>
        <v>0.6678507992895204</v>
      </c>
      <c r="L138" s="19">
        <f t="shared" si="53"/>
        <v>0.6024560238964487</v>
      </c>
    </row>
    <row r="139" spans="1:14" x14ac:dyDescent="0.2">
      <c r="A139" t="s">
        <v>10</v>
      </c>
      <c r="B139" s="19">
        <f t="shared" ref="B139:K139" si="61">+B49/(+B49+B73)</f>
        <v>0.74792053621900989</v>
      </c>
      <c r="C139" s="19">
        <f t="shared" si="61"/>
        <v>0.79161124833745011</v>
      </c>
      <c r="D139" s="19">
        <f t="shared" si="61"/>
        <v>0.70017216262746651</v>
      </c>
      <c r="E139" s="19">
        <f t="shared" si="61"/>
        <v>0.71067673417542865</v>
      </c>
      <c r="F139" s="19">
        <f t="shared" si="61"/>
        <v>0.6820430167287278</v>
      </c>
      <c r="G139" s="19">
        <f t="shared" si="61"/>
        <v>0.66864137496301446</v>
      </c>
      <c r="H139" s="19">
        <f t="shared" si="61"/>
        <v>0.71292645744624927</v>
      </c>
      <c r="I139" s="19">
        <f t="shared" si="61"/>
        <v>0.76817087270609308</v>
      </c>
      <c r="J139" s="19">
        <f t="shared" si="61"/>
        <v>0.66331210191082801</v>
      </c>
      <c r="K139" s="19">
        <f t="shared" si="61"/>
        <v>0.72387730332119604</v>
      </c>
      <c r="L139" s="19">
        <f t="shared" si="53"/>
        <v>0.7097016607800406</v>
      </c>
    </row>
    <row r="141" spans="1:14" x14ac:dyDescent="0.2">
      <c r="A141" t="s">
        <v>54</v>
      </c>
      <c r="B141" t="s">
        <v>41</v>
      </c>
      <c r="C141" t="s">
        <v>42</v>
      </c>
      <c r="D141" t="s">
        <v>43</v>
      </c>
      <c r="E141" t="s">
        <v>44</v>
      </c>
      <c r="F141" t="s">
        <v>45</v>
      </c>
      <c r="G141" t="s">
        <v>46</v>
      </c>
      <c r="H141" t="s">
        <v>47</v>
      </c>
      <c r="I141" t="s">
        <v>48</v>
      </c>
      <c r="J141" t="s">
        <v>49</v>
      </c>
      <c r="K141" t="s">
        <v>50</v>
      </c>
    </row>
    <row r="142" spans="1:14" x14ac:dyDescent="0.2">
      <c r="A142" t="s">
        <v>2</v>
      </c>
      <c r="B142" s="19">
        <f>+B131-B120</f>
        <v>1.342311736633503E-2</v>
      </c>
      <c r="C142" s="19">
        <f t="shared" ref="C142:K142" si="62">+C131-C120</f>
        <v>-6.4478249830737994E-2</v>
      </c>
      <c r="D142" s="19">
        <f t="shared" si="62"/>
        <v>-2.2063926940639272E-2</v>
      </c>
      <c r="E142" s="19">
        <f t="shared" si="62"/>
        <v>1.7638262501889101E-2</v>
      </c>
      <c r="F142" s="19">
        <f t="shared" si="62"/>
        <v>-6.4569785608244168E-3</v>
      </c>
      <c r="G142" s="19">
        <f t="shared" si="62"/>
        <v>2.147346021518208E-2</v>
      </c>
      <c r="H142" s="19">
        <f t="shared" si="62"/>
        <v>-1.1920073481838905E-2</v>
      </c>
      <c r="I142" s="19">
        <f t="shared" si="62"/>
        <v>6.4153969526864474E-3</v>
      </c>
      <c r="J142" s="19">
        <f t="shared" si="62"/>
        <v>-4.2562642165027836E-3</v>
      </c>
      <c r="K142" s="19">
        <f t="shared" si="62"/>
        <v>-4.439596999466433E-2</v>
      </c>
      <c r="L142" s="19">
        <f t="shared" ref="L142:L150" si="63">+L131-L120</f>
        <v>4.4838149781223358E-4</v>
      </c>
      <c r="M142" s="19">
        <f>STDEV(B142:K142)</f>
        <v>2.7719623592308344E-2</v>
      </c>
    </row>
    <row r="143" spans="1:14" x14ac:dyDescent="0.2">
      <c r="A143" t="s">
        <v>3</v>
      </c>
      <c r="B143" s="19">
        <f t="shared" ref="B143:K143" si="64">+B132-B121</f>
        <v>-2.3359349776617244E-2</v>
      </c>
      <c r="C143" s="19">
        <f t="shared" si="64"/>
        <v>-4.1967136104709368E-2</v>
      </c>
      <c r="D143" s="19">
        <f t="shared" si="64"/>
        <v>-5.0733627983719776E-2</v>
      </c>
      <c r="E143" s="19">
        <f t="shared" si="64"/>
        <v>-6.1808134047361796E-2</v>
      </c>
      <c r="F143" s="19">
        <f t="shared" si="64"/>
        <v>-6.8641423773181554E-2</v>
      </c>
      <c r="G143" s="19">
        <f t="shared" si="64"/>
        <v>-1.5529740710040374E-2</v>
      </c>
      <c r="H143" s="19">
        <f t="shared" si="64"/>
        <v>-5.1455631745265795E-3</v>
      </c>
      <c r="I143" s="19">
        <f t="shared" si="64"/>
        <v>-5.5489994993777825E-2</v>
      </c>
      <c r="J143" s="19">
        <f t="shared" si="64"/>
        <v>4.5291346244688557E-3</v>
      </c>
      <c r="K143" s="19">
        <f t="shared" si="64"/>
        <v>-4.1147778709190064E-2</v>
      </c>
      <c r="L143" s="19">
        <f t="shared" si="63"/>
        <v>-3.1412202788425214E-2</v>
      </c>
      <c r="M143" s="19">
        <f t="shared" ref="M143:M150" si="65">STDEV(B143:K143)</f>
        <v>2.4863947677455374E-2</v>
      </c>
      <c r="N143" t="s">
        <v>61</v>
      </c>
    </row>
    <row r="144" spans="1:14" x14ac:dyDescent="0.2">
      <c r="A144" t="s">
        <v>4</v>
      </c>
      <c r="B144" s="19">
        <f t="shared" ref="B144:K144" si="66">+B133-B122</f>
        <v>-1.2027146863091254E-2</v>
      </c>
      <c r="C144" s="19">
        <f t="shared" si="66"/>
        <v>-3.0772099962700472E-2</v>
      </c>
      <c r="D144" s="19">
        <f t="shared" si="66"/>
        <v>-4.2789429164099113E-2</v>
      </c>
      <c r="E144" s="19">
        <f t="shared" si="66"/>
        <v>-2.7970701020138988E-2</v>
      </c>
      <c r="F144" s="19">
        <f t="shared" si="66"/>
        <v>-4.1575623038792364E-2</v>
      </c>
      <c r="G144" s="19">
        <f t="shared" si="66"/>
        <v>-2.406656289213982E-2</v>
      </c>
      <c r="H144" s="19">
        <f t="shared" si="66"/>
        <v>-8.0560401628280154E-3</v>
      </c>
      <c r="I144" s="19">
        <f t="shared" si="66"/>
        <v>-1.7451614358795164E-2</v>
      </c>
      <c r="J144" s="19">
        <f t="shared" si="66"/>
        <v>-1.2318581269719631E-2</v>
      </c>
      <c r="K144" s="19">
        <f t="shared" si="66"/>
        <v>-1.2632526709972502E-2</v>
      </c>
      <c r="L144" s="19">
        <f t="shared" si="63"/>
        <v>-2.1992206905120937E-2</v>
      </c>
      <c r="M144" s="19">
        <f t="shared" si="65"/>
        <v>1.2556547367887966E-2</v>
      </c>
      <c r="N144" t="s">
        <v>61</v>
      </c>
    </row>
    <row r="145" spans="1:14" x14ac:dyDescent="0.2">
      <c r="A145" t="s">
        <v>5</v>
      </c>
      <c r="B145" s="19">
        <f t="shared" ref="B145:K145" si="67">+B134-B123</f>
        <v>-3.588211445602274E-2</v>
      </c>
      <c r="C145" s="19">
        <f t="shared" si="67"/>
        <v>-1.9102472898203771E-2</v>
      </c>
      <c r="D145" s="19">
        <f t="shared" si="67"/>
        <v>-2.1460755803659248E-2</v>
      </c>
      <c r="E145" s="19">
        <f t="shared" si="67"/>
        <v>-5.1182618836872806E-2</v>
      </c>
      <c r="F145" s="19">
        <f t="shared" si="67"/>
        <v>-2.5341412083044967E-2</v>
      </c>
      <c r="G145" s="19">
        <f t="shared" si="67"/>
        <v>-9.0445932918423733E-3</v>
      </c>
      <c r="H145" s="19">
        <f t="shared" si="67"/>
        <v>-1.6165464434257704E-2</v>
      </c>
      <c r="I145" s="19">
        <f t="shared" si="67"/>
        <v>-6.0867385060484613E-3</v>
      </c>
      <c r="J145" s="19">
        <f t="shared" si="67"/>
        <v>-1.0459932061266497E-2</v>
      </c>
      <c r="K145" s="19">
        <f t="shared" si="67"/>
        <v>-2.8007100937432639E-2</v>
      </c>
      <c r="L145" s="19">
        <f t="shared" si="63"/>
        <v>-1.4257674850930435E-2</v>
      </c>
      <c r="M145" s="19">
        <f t="shared" si="65"/>
        <v>1.369435194017748E-2</v>
      </c>
      <c r="N145" t="s">
        <v>61</v>
      </c>
    </row>
    <row r="146" spans="1:14" x14ac:dyDescent="0.2">
      <c r="A146" t="s">
        <v>6</v>
      </c>
      <c r="B146" s="19">
        <f t="shared" ref="B146:K146" si="68">+B135-B124</f>
        <v>-8.9167305225212878E-3</v>
      </c>
      <c r="C146" s="19">
        <f t="shared" si="68"/>
        <v>-4.3994857684173105E-3</v>
      </c>
      <c r="D146" s="19">
        <f t="shared" si="68"/>
        <v>-7.8192767013552933E-3</v>
      </c>
      <c r="E146" s="19">
        <f t="shared" si="68"/>
        <v>-1.6411333235618386E-2</v>
      </c>
      <c r="F146" s="19">
        <f t="shared" si="68"/>
        <v>-2.3622169291614981E-4</v>
      </c>
      <c r="G146" s="19">
        <f t="shared" si="68"/>
        <v>1.5304773670262395E-2</v>
      </c>
      <c r="H146" s="19">
        <f t="shared" si="68"/>
        <v>1.706421027483207E-2</v>
      </c>
      <c r="I146" s="19">
        <f t="shared" si="68"/>
        <v>9.9371910803813801E-3</v>
      </c>
      <c r="J146" s="19">
        <f t="shared" si="68"/>
        <v>-4.8011399947193167E-3</v>
      </c>
      <c r="K146" s="19">
        <f t="shared" si="68"/>
        <v>1.431468435483696E-3</v>
      </c>
      <c r="L146" s="19">
        <f t="shared" si="63"/>
        <v>6.9420224802002606E-3</v>
      </c>
      <c r="M146" s="19">
        <f t="shared" si="65"/>
        <v>1.0946995745965353E-2</v>
      </c>
      <c r="N146" t="s">
        <v>62</v>
      </c>
    </row>
    <row r="147" spans="1:14" x14ac:dyDescent="0.2">
      <c r="A147" t="s">
        <v>7</v>
      </c>
      <c r="B147" s="19">
        <f t="shared" ref="B147:K147" si="69">+B136-B125</f>
        <v>3.399056282197277E-4</v>
      </c>
      <c r="C147" s="19">
        <f t="shared" si="69"/>
        <v>6.6148723640399032E-3</v>
      </c>
      <c r="D147" s="19">
        <f t="shared" si="69"/>
        <v>7.7320469691564142E-3</v>
      </c>
      <c r="E147" s="19">
        <f t="shared" si="69"/>
        <v>1.3658391405619863E-3</v>
      </c>
      <c r="F147" s="19">
        <f t="shared" si="69"/>
        <v>-1.5301832614391664E-3</v>
      </c>
      <c r="G147" s="19">
        <f t="shared" si="69"/>
        <v>2.7460847870832805E-2</v>
      </c>
      <c r="H147" s="19">
        <f t="shared" si="69"/>
        <v>1.6214166980868416E-2</v>
      </c>
      <c r="I147" s="19">
        <f t="shared" si="69"/>
        <v>1.1416845677989285E-2</v>
      </c>
      <c r="J147" s="19">
        <f t="shared" si="69"/>
        <v>9.0136604206425552E-5</v>
      </c>
      <c r="K147" s="19">
        <f t="shared" si="69"/>
        <v>3.5746590381904308E-3</v>
      </c>
      <c r="L147" s="19">
        <f t="shared" si="63"/>
        <v>1.3533012018012602E-2</v>
      </c>
      <c r="M147" s="19">
        <f t="shared" si="65"/>
        <v>9.0123893832144766E-3</v>
      </c>
      <c r="N147" t="s">
        <v>62</v>
      </c>
    </row>
    <row r="148" spans="1:14" x14ac:dyDescent="0.2">
      <c r="A148" t="s">
        <v>8</v>
      </c>
      <c r="B148" s="19">
        <f t="shared" ref="B148:K148" si="70">+B137-B126</f>
        <v>2.372105036767802E-2</v>
      </c>
      <c r="C148" s="19">
        <f t="shared" si="70"/>
        <v>1.5533587878475252E-2</v>
      </c>
      <c r="D148" s="19">
        <f t="shared" si="70"/>
        <v>-7.5018644258676437E-3</v>
      </c>
      <c r="E148" s="19">
        <f t="shared" si="70"/>
        <v>2.8233395823423546E-2</v>
      </c>
      <c r="F148" s="19">
        <f t="shared" si="70"/>
        <v>-2.7030670578631733E-2</v>
      </c>
      <c r="G148" s="19">
        <f t="shared" si="70"/>
        <v>5.3964019721006506E-2</v>
      </c>
      <c r="H148" s="19">
        <f t="shared" si="70"/>
        <v>3.3701317216050408E-2</v>
      </c>
      <c r="I148" s="19">
        <f t="shared" si="70"/>
        <v>2.177260906074463E-2</v>
      </c>
      <c r="J148" s="19">
        <f t="shared" si="70"/>
        <v>1.3591001055594631E-2</v>
      </c>
      <c r="K148" s="19">
        <f t="shared" si="70"/>
        <v>3.2690039419114747E-2</v>
      </c>
      <c r="L148" s="19">
        <f t="shared" si="63"/>
        <v>2.7862715591307596E-2</v>
      </c>
      <c r="M148" s="19">
        <f t="shared" si="65"/>
        <v>2.2616436731643961E-2</v>
      </c>
      <c r="N148" t="s">
        <v>62</v>
      </c>
    </row>
    <row r="149" spans="1:14" x14ac:dyDescent="0.2">
      <c r="A149" t="s">
        <v>9</v>
      </c>
      <c r="B149" s="19">
        <f t="shared" ref="B149:K149" si="71">+B138-B127</f>
        <v>-4.3013802231045561E-2</v>
      </c>
      <c r="C149" s="19">
        <f t="shared" si="71"/>
        <v>4.6288182967678893E-2</v>
      </c>
      <c r="D149" s="19">
        <f t="shared" si="71"/>
        <v>-3.5225585552828509E-2</v>
      </c>
      <c r="E149" s="19">
        <f t="shared" si="71"/>
        <v>4.0531505933478207E-2</v>
      </c>
      <c r="F149" s="19">
        <f t="shared" si="71"/>
        <v>-0.11845539712910036</v>
      </c>
      <c r="G149" s="19">
        <f t="shared" si="71"/>
        <v>3.1254433446064267E-2</v>
      </c>
      <c r="H149" s="19">
        <f t="shared" si="71"/>
        <v>-3.6574278834340723E-2</v>
      </c>
      <c r="I149" s="19">
        <f t="shared" si="71"/>
        <v>-3.2638900808431015E-2</v>
      </c>
      <c r="J149" s="19">
        <f t="shared" si="71"/>
        <v>-3.0135198481779146E-2</v>
      </c>
      <c r="K149" s="19">
        <f t="shared" si="71"/>
        <v>-2.5976361204306797E-2</v>
      </c>
      <c r="L149" s="19">
        <f t="shared" si="63"/>
        <v>-1.6270567863850949E-2</v>
      </c>
      <c r="M149" s="19">
        <f t="shared" si="65"/>
        <v>4.9116022715420683E-2</v>
      </c>
      <c r="N149" t="s">
        <v>61</v>
      </c>
    </row>
    <row r="150" spans="1:14" x14ac:dyDescent="0.2">
      <c r="A150" t="s">
        <v>10</v>
      </c>
      <c r="B150" s="19">
        <f t="shared" ref="B150:K150" si="72">+B139-B128</f>
        <v>7.2820394025888691E-3</v>
      </c>
      <c r="C150" s="19">
        <f t="shared" si="72"/>
        <v>1.3561005843853002E-2</v>
      </c>
      <c r="D150" s="19">
        <f t="shared" si="72"/>
        <v>-8.2981013394580749E-3</v>
      </c>
      <c r="E150" s="19">
        <f t="shared" si="72"/>
        <v>-1.4499043175160153E-3</v>
      </c>
      <c r="F150" s="19">
        <f t="shared" si="72"/>
        <v>-3.9814151973435186E-3</v>
      </c>
      <c r="G150" s="19">
        <f t="shared" si="72"/>
        <v>1.9664184834600751E-2</v>
      </c>
      <c r="H150" s="19">
        <f t="shared" si="72"/>
        <v>1.8155707296759416E-2</v>
      </c>
      <c r="I150" s="19">
        <f t="shared" si="72"/>
        <v>1.2476280774667337E-2</v>
      </c>
      <c r="J150" s="19">
        <f t="shared" si="72"/>
        <v>1.8470505893825151E-2</v>
      </c>
      <c r="K150" s="19">
        <f t="shared" si="72"/>
        <v>3.7926088263382507E-3</v>
      </c>
      <c r="L150" s="19">
        <f t="shared" si="63"/>
        <v>1.2913166744988325E-2</v>
      </c>
      <c r="M150" s="19">
        <f t="shared" si="65"/>
        <v>1.0091112624814888E-2</v>
      </c>
      <c r="N150" t="s">
        <v>60</v>
      </c>
    </row>
  </sheetData>
  <phoneticPr fontId="1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workbookViewId="0">
      <selection activeCell="B3" sqref="B3:G3"/>
    </sheetView>
  </sheetViews>
  <sheetFormatPr defaultRowHeight="12.75" x14ac:dyDescent="0.2"/>
  <sheetData>
    <row r="1" spans="1:20" x14ac:dyDescent="0.2">
      <c r="A1" t="s">
        <v>64</v>
      </c>
      <c r="C1" s="3" t="s">
        <v>63</v>
      </c>
      <c r="I1">
        <f>+Model!B32</f>
        <v>2025</v>
      </c>
      <c r="J1">
        <v>2</v>
      </c>
      <c r="K1">
        <f>+J1+1</f>
        <v>3</v>
      </c>
      <c r="L1">
        <f t="shared" ref="L1:T1" si="0">+K1+1</f>
        <v>4</v>
      </c>
      <c r="M1">
        <f t="shared" si="0"/>
        <v>5</v>
      </c>
      <c r="N1">
        <f t="shared" si="0"/>
        <v>6</v>
      </c>
      <c r="O1">
        <f t="shared" si="0"/>
        <v>7</v>
      </c>
      <c r="P1">
        <f t="shared" si="0"/>
        <v>8</v>
      </c>
      <c r="Q1">
        <f t="shared" si="0"/>
        <v>9</v>
      </c>
      <c r="R1">
        <f t="shared" si="0"/>
        <v>10</v>
      </c>
      <c r="S1">
        <f t="shared" si="0"/>
        <v>11</v>
      </c>
      <c r="T1">
        <f t="shared" si="0"/>
        <v>12</v>
      </c>
    </row>
    <row r="2" spans="1:20" x14ac:dyDescent="0.2">
      <c r="A2" t="s">
        <v>41</v>
      </c>
      <c r="I2">
        <f>+Model!D1+1</f>
        <v>4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</row>
    <row r="3" spans="1:20" x14ac:dyDescent="0.2">
      <c r="A3" t="s">
        <v>74</v>
      </c>
      <c r="B3">
        <v>2015</v>
      </c>
      <c r="C3">
        <v>2020</v>
      </c>
      <c r="D3">
        <v>2025</v>
      </c>
      <c r="E3">
        <v>2030</v>
      </c>
      <c r="F3">
        <v>2035</v>
      </c>
      <c r="G3">
        <v>2040</v>
      </c>
      <c r="I3" t="s">
        <v>69</v>
      </c>
      <c r="J3">
        <f>VLOOKUP($I3,$A$4:$G$12,$I$2)</f>
        <v>9825</v>
      </c>
      <c r="K3">
        <f>VLOOKUP($I3,$A$18:$G$26,$I$2)</f>
        <v>6307</v>
      </c>
      <c r="L3">
        <f>VLOOKUP($I3,$A$32:$G$40,$I$2)</f>
        <v>12150</v>
      </c>
      <c r="M3">
        <f>VLOOKUP($I3,$A$46:$G$54,$I$2)</f>
        <v>3918</v>
      </c>
      <c r="N3">
        <f>VLOOKUP($I3,$A$60:$G$68,$I$2)</f>
        <v>11198</v>
      </c>
      <c r="O3">
        <f>VLOOKUP($I3,$A$74:$G$82,$I$2)</f>
        <v>69575</v>
      </c>
      <c r="P3">
        <f>VLOOKUP($I3,$A$88:$G$96,$I$2)</f>
        <v>22776</v>
      </c>
      <c r="Q3">
        <f>VLOOKUP($I3,$A$102:$G$110,$I$2)</f>
        <v>44747</v>
      </c>
      <c r="R3">
        <f>VLOOKUP($I3,$A$116:$G$124,$I$2)</f>
        <v>19752</v>
      </c>
      <c r="S3">
        <f>VLOOKUP($I3,$A$130:$G$138,$I$2)</f>
        <v>6549</v>
      </c>
      <c r="T3">
        <f>SUM(J3:S3)</f>
        <v>206797</v>
      </c>
    </row>
    <row r="4" spans="1:20" x14ac:dyDescent="0.2">
      <c r="A4" t="s">
        <v>69</v>
      </c>
      <c r="B4" s="17">
        <v>9837</v>
      </c>
      <c r="C4" s="17">
        <v>9941</v>
      </c>
      <c r="D4" s="17">
        <v>9825</v>
      </c>
      <c r="E4" s="17">
        <v>9651</v>
      </c>
      <c r="F4" s="17">
        <v>9519</v>
      </c>
      <c r="G4" s="17">
        <v>9501</v>
      </c>
      <c r="I4" t="s">
        <v>2</v>
      </c>
      <c r="J4">
        <f t="shared" ref="J4:J11" si="1">VLOOKUP($I4,$A$4:$G$12,$I$2)</f>
        <v>5780</v>
      </c>
      <c r="K4">
        <f t="shared" ref="K4:K11" si="2">VLOOKUP($I4,$A$18:$G$26,$I$2)</f>
        <v>3778</v>
      </c>
      <c r="L4">
        <f t="shared" ref="L4:L11" si="3">VLOOKUP($I4,$A$32:$G$40,$I$2)</f>
        <v>11207</v>
      </c>
      <c r="M4">
        <f t="shared" ref="M4:M11" si="4">VLOOKUP($I4,$A$46:$G$54,$I$2)</f>
        <v>2645</v>
      </c>
      <c r="N4">
        <f t="shared" ref="N4:N11" si="5">VLOOKUP($I4,$A$60:$G$68,$I$2)</f>
        <v>17508</v>
      </c>
      <c r="O4">
        <f t="shared" ref="O4:O11" si="6">VLOOKUP($I4,$A$74:$G$82,$I$2)</f>
        <v>46138</v>
      </c>
      <c r="P4">
        <f t="shared" ref="P4:P11" si="7">VLOOKUP($I4,$A$88:$G$96,$I$2)</f>
        <v>17285</v>
      </c>
      <c r="Q4">
        <f t="shared" ref="Q4:Q11" si="8">VLOOKUP($I4,$A$102:$G$110,$I$2)</f>
        <v>29653</v>
      </c>
      <c r="R4">
        <f t="shared" ref="R4:R11" si="9">VLOOKUP($I4,$A$116:$G$124,$I$2)</f>
        <v>22272</v>
      </c>
      <c r="S4">
        <f t="shared" ref="S4:S11" si="10">VLOOKUP($I4,$A$130:$G$138,$I$2)</f>
        <v>4229</v>
      </c>
      <c r="T4">
        <f t="shared" ref="T4:T11" si="11">SUM(J4:S4)</f>
        <v>160495</v>
      </c>
    </row>
    <row r="5" spans="1:20" x14ac:dyDescent="0.2">
      <c r="A5" t="s">
        <v>2</v>
      </c>
      <c r="B5" s="17">
        <v>5987</v>
      </c>
      <c r="C5" s="17">
        <v>5671</v>
      </c>
      <c r="D5" s="17">
        <v>5780</v>
      </c>
      <c r="E5" s="17">
        <v>5924</v>
      </c>
      <c r="F5" s="17">
        <v>5903</v>
      </c>
      <c r="G5" s="17">
        <v>5790</v>
      </c>
      <c r="I5" t="s">
        <v>3</v>
      </c>
      <c r="J5">
        <f t="shared" si="1"/>
        <v>6096</v>
      </c>
      <c r="K5">
        <f t="shared" si="2"/>
        <v>3861</v>
      </c>
      <c r="L5">
        <f t="shared" si="3"/>
        <v>8935</v>
      </c>
      <c r="M5">
        <f t="shared" si="4"/>
        <v>2717</v>
      </c>
      <c r="N5">
        <f t="shared" si="5"/>
        <v>6638</v>
      </c>
      <c r="O5">
        <f t="shared" si="6"/>
        <v>55227</v>
      </c>
      <c r="P5">
        <f t="shared" si="7"/>
        <v>17013</v>
      </c>
      <c r="Q5">
        <f t="shared" si="8"/>
        <v>39073</v>
      </c>
      <c r="R5">
        <f t="shared" si="9"/>
        <v>16477</v>
      </c>
      <c r="S5">
        <f t="shared" si="10"/>
        <v>4596</v>
      </c>
      <c r="T5">
        <f t="shared" si="11"/>
        <v>160633</v>
      </c>
    </row>
    <row r="6" spans="1:20" x14ac:dyDescent="0.2">
      <c r="A6" t="s">
        <v>3</v>
      </c>
      <c r="B6" s="17">
        <v>6432</v>
      </c>
      <c r="C6" s="17">
        <v>6285</v>
      </c>
      <c r="D6" s="17">
        <v>6096</v>
      </c>
      <c r="E6" s="17">
        <v>5767</v>
      </c>
      <c r="F6" s="17">
        <v>5865</v>
      </c>
      <c r="G6" s="17">
        <v>6047</v>
      </c>
      <c r="I6" t="s">
        <v>4</v>
      </c>
      <c r="J6">
        <f t="shared" si="1"/>
        <v>7879</v>
      </c>
      <c r="K6">
        <f t="shared" si="2"/>
        <v>5388</v>
      </c>
      <c r="L6">
        <f t="shared" si="3"/>
        <v>10233</v>
      </c>
      <c r="M6">
        <f t="shared" si="4"/>
        <v>3443</v>
      </c>
      <c r="N6">
        <f t="shared" si="5"/>
        <v>10099</v>
      </c>
      <c r="O6">
        <f t="shared" si="6"/>
        <v>56509</v>
      </c>
      <c r="P6">
        <f t="shared" si="7"/>
        <v>19499</v>
      </c>
      <c r="Q6">
        <f t="shared" si="8"/>
        <v>42601</v>
      </c>
      <c r="R6">
        <f t="shared" si="9"/>
        <v>15824</v>
      </c>
      <c r="S6">
        <f t="shared" si="10"/>
        <v>5774</v>
      </c>
      <c r="T6">
        <f t="shared" si="11"/>
        <v>177249</v>
      </c>
    </row>
    <row r="7" spans="1:20" x14ac:dyDescent="0.2">
      <c r="A7" t="s">
        <v>4</v>
      </c>
      <c r="B7" s="17">
        <v>6957</v>
      </c>
      <c r="C7" s="17">
        <v>7419</v>
      </c>
      <c r="D7" s="17">
        <v>7879</v>
      </c>
      <c r="E7" s="17">
        <v>7756</v>
      </c>
      <c r="F7" s="17">
        <v>7532</v>
      </c>
      <c r="G7" s="17">
        <v>7137</v>
      </c>
      <c r="I7" t="s">
        <v>5</v>
      </c>
      <c r="J7">
        <f t="shared" si="1"/>
        <v>7488</v>
      </c>
      <c r="K7">
        <f t="shared" si="2"/>
        <v>5633</v>
      </c>
      <c r="L7">
        <f t="shared" si="3"/>
        <v>8093</v>
      </c>
      <c r="M7">
        <f t="shared" si="4"/>
        <v>3651</v>
      </c>
      <c r="N7">
        <f t="shared" si="5"/>
        <v>10063</v>
      </c>
      <c r="O7">
        <f t="shared" si="6"/>
        <v>50135</v>
      </c>
      <c r="P7">
        <f t="shared" si="7"/>
        <v>17974</v>
      </c>
      <c r="Q7">
        <f t="shared" si="8"/>
        <v>35949</v>
      </c>
      <c r="R7">
        <f t="shared" si="9"/>
        <v>14342</v>
      </c>
      <c r="S7">
        <f t="shared" si="10"/>
        <v>5716</v>
      </c>
      <c r="T7">
        <f t="shared" si="11"/>
        <v>159044</v>
      </c>
    </row>
    <row r="8" spans="1:20" x14ac:dyDescent="0.2">
      <c r="A8" t="s">
        <v>5</v>
      </c>
      <c r="B8" s="17">
        <v>9095</v>
      </c>
      <c r="C8" s="17">
        <v>8006</v>
      </c>
      <c r="D8" s="17">
        <v>7488</v>
      </c>
      <c r="E8" s="17">
        <v>8047</v>
      </c>
      <c r="F8" s="17">
        <v>8577</v>
      </c>
      <c r="G8" s="17">
        <v>8449</v>
      </c>
      <c r="I8" t="s">
        <v>6</v>
      </c>
      <c r="J8">
        <f t="shared" si="1"/>
        <v>9946</v>
      </c>
      <c r="K8">
        <f t="shared" si="2"/>
        <v>9011</v>
      </c>
      <c r="L8">
        <f t="shared" si="3"/>
        <v>10191</v>
      </c>
      <c r="M8">
        <f t="shared" si="4"/>
        <v>5005</v>
      </c>
      <c r="N8">
        <f t="shared" si="5"/>
        <v>12878</v>
      </c>
      <c r="O8">
        <f t="shared" si="6"/>
        <v>59260</v>
      </c>
      <c r="P8">
        <f t="shared" si="7"/>
        <v>22355</v>
      </c>
      <c r="Q8">
        <f t="shared" si="8"/>
        <v>48611</v>
      </c>
      <c r="R8">
        <f t="shared" si="9"/>
        <v>16995</v>
      </c>
      <c r="S8">
        <f t="shared" si="10"/>
        <v>7313</v>
      </c>
      <c r="T8">
        <f t="shared" si="11"/>
        <v>201565</v>
      </c>
    </row>
    <row r="9" spans="1:20" x14ac:dyDescent="0.2">
      <c r="A9" t="s">
        <v>6</v>
      </c>
      <c r="B9" s="17">
        <v>10311</v>
      </c>
      <c r="C9" s="17">
        <v>10770</v>
      </c>
      <c r="D9" s="17">
        <v>9946</v>
      </c>
      <c r="E9" s="17">
        <v>8829</v>
      </c>
      <c r="F9" s="17">
        <v>8305</v>
      </c>
      <c r="G9" s="17">
        <v>8944</v>
      </c>
      <c r="I9" t="s">
        <v>7</v>
      </c>
      <c r="J9">
        <f t="shared" si="1"/>
        <v>9982</v>
      </c>
      <c r="K9">
        <f t="shared" si="2"/>
        <v>10029</v>
      </c>
      <c r="L9">
        <f t="shared" si="3"/>
        <v>10277</v>
      </c>
      <c r="M9">
        <f t="shared" si="4"/>
        <v>5650</v>
      </c>
      <c r="N9">
        <f t="shared" si="5"/>
        <v>13823</v>
      </c>
      <c r="O9">
        <f t="shared" si="6"/>
        <v>49224</v>
      </c>
      <c r="P9">
        <f t="shared" si="7"/>
        <v>21361</v>
      </c>
      <c r="Q9">
        <f t="shared" si="8"/>
        <v>41785</v>
      </c>
      <c r="R9">
        <f t="shared" si="9"/>
        <v>15236</v>
      </c>
      <c r="S9">
        <f t="shared" si="10"/>
        <v>7250</v>
      </c>
      <c r="T9">
        <f t="shared" si="11"/>
        <v>184617</v>
      </c>
    </row>
    <row r="10" spans="1:20" x14ac:dyDescent="0.2">
      <c r="A10" t="s">
        <v>7</v>
      </c>
      <c r="B10" s="17">
        <v>7289</v>
      </c>
      <c r="C10" s="17">
        <v>8912</v>
      </c>
      <c r="D10" s="17">
        <v>9982</v>
      </c>
      <c r="E10" s="17">
        <v>10509</v>
      </c>
      <c r="F10" s="17">
        <v>9758</v>
      </c>
      <c r="G10" s="17">
        <v>8714</v>
      </c>
      <c r="I10" t="s">
        <v>8</v>
      </c>
      <c r="J10">
        <f t="shared" si="1"/>
        <v>5586</v>
      </c>
      <c r="K10">
        <f t="shared" si="2"/>
        <v>5913</v>
      </c>
      <c r="L10">
        <f t="shared" si="3"/>
        <v>6003</v>
      </c>
      <c r="M10">
        <f t="shared" si="4"/>
        <v>3037</v>
      </c>
      <c r="N10">
        <f t="shared" si="5"/>
        <v>8107</v>
      </c>
      <c r="O10">
        <f t="shared" si="6"/>
        <v>27517</v>
      </c>
      <c r="P10">
        <f t="shared" si="7"/>
        <v>11725</v>
      </c>
      <c r="Q10">
        <f t="shared" si="8"/>
        <v>23166</v>
      </c>
      <c r="R10">
        <f t="shared" si="9"/>
        <v>7756</v>
      </c>
      <c r="S10">
        <f t="shared" si="10"/>
        <v>3866</v>
      </c>
      <c r="T10">
        <f t="shared" si="11"/>
        <v>102676</v>
      </c>
    </row>
    <row r="11" spans="1:20" x14ac:dyDescent="0.2">
      <c r="A11" t="s">
        <v>8</v>
      </c>
      <c r="B11" s="17">
        <v>3170</v>
      </c>
      <c r="C11" s="17">
        <v>3986</v>
      </c>
      <c r="D11" s="17">
        <v>5586</v>
      </c>
      <c r="E11" s="17">
        <v>6932</v>
      </c>
      <c r="F11" s="17">
        <v>7897</v>
      </c>
      <c r="G11" s="17">
        <v>8393</v>
      </c>
      <c r="I11" t="s">
        <v>70</v>
      </c>
      <c r="J11">
        <f t="shared" si="1"/>
        <v>1878</v>
      </c>
      <c r="K11">
        <f t="shared" si="2"/>
        <v>2025</v>
      </c>
      <c r="L11">
        <f t="shared" si="3"/>
        <v>1996</v>
      </c>
      <c r="M11">
        <f t="shared" si="4"/>
        <v>1167</v>
      </c>
      <c r="N11">
        <f t="shared" si="5"/>
        <v>2910</v>
      </c>
      <c r="O11">
        <f t="shared" si="6"/>
        <v>9532</v>
      </c>
      <c r="P11">
        <f t="shared" si="7"/>
        <v>4366</v>
      </c>
      <c r="Q11">
        <f t="shared" si="8"/>
        <v>8034</v>
      </c>
      <c r="R11">
        <f t="shared" si="9"/>
        <v>2543</v>
      </c>
      <c r="S11">
        <f t="shared" si="10"/>
        <v>1357</v>
      </c>
      <c r="T11">
        <f t="shared" si="11"/>
        <v>35808</v>
      </c>
    </row>
    <row r="12" spans="1:20" x14ac:dyDescent="0.2">
      <c r="A12" t="s">
        <v>70</v>
      </c>
      <c r="B12" s="17">
        <v>1593</v>
      </c>
      <c r="C12" s="17">
        <v>1688</v>
      </c>
      <c r="D12" s="17">
        <v>1878</v>
      </c>
      <c r="E12" s="17">
        <v>2437</v>
      </c>
      <c r="F12" s="17">
        <v>3440</v>
      </c>
      <c r="G12" s="17">
        <v>4294</v>
      </c>
      <c r="I12" t="s">
        <v>71</v>
      </c>
      <c r="J12">
        <f>SUM(J3:J11)</f>
        <v>64460</v>
      </c>
      <c r="K12">
        <f t="shared" ref="K12:T12" si="12">SUM(K3:K11)</f>
        <v>51945</v>
      </c>
      <c r="L12">
        <f t="shared" si="12"/>
        <v>79085</v>
      </c>
      <c r="M12">
        <f t="shared" si="12"/>
        <v>31233</v>
      </c>
      <c r="N12">
        <f t="shared" si="12"/>
        <v>93224</v>
      </c>
      <c r="O12">
        <f t="shared" si="12"/>
        <v>423117</v>
      </c>
      <c r="P12">
        <f t="shared" si="12"/>
        <v>154354</v>
      </c>
      <c r="Q12">
        <f t="shared" si="12"/>
        <v>313619</v>
      </c>
      <c r="R12">
        <f t="shared" si="12"/>
        <v>131197</v>
      </c>
      <c r="S12">
        <f t="shared" si="12"/>
        <v>46650</v>
      </c>
      <c r="T12">
        <f t="shared" si="12"/>
        <v>1388884</v>
      </c>
    </row>
    <row r="13" spans="1:20" x14ac:dyDescent="0.2">
      <c r="A13" t="s">
        <v>71</v>
      </c>
      <c r="B13" s="17">
        <v>60671</v>
      </c>
      <c r="C13" s="17">
        <v>62678</v>
      </c>
      <c r="D13" s="17">
        <v>64460</v>
      </c>
      <c r="E13" s="17">
        <v>65852</v>
      </c>
      <c r="F13" s="17">
        <v>66796</v>
      </c>
      <c r="G13" s="17">
        <v>67269</v>
      </c>
    </row>
    <row r="15" spans="1:20" x14ac:dyDescent="0.2">
      <c r="B15">
        <v>2</v>
      </c>
      <c r="C15">
        <f>+B15+1</f>
        <v>3</v>
      </c>
      <c r="D15">
        <f>+C15+1</f>
        <v>4</v>
      </c>
      <c r="E15">
        <f>+D15+1</f>
        <v>5</v>
      </c>
      <c r="F15">
        <f>+E15+1</f>
        <v>6</v>
      </c>
      <c r="G15">
        <f>+F15+1</f>
        <v>7</v>
      </c>
    </row>
    <row r="16" spans="1:20" x14ac:dyDescent="0.2">
      <c r="A16" t="s">
        <v>42</v>
      </c>
    </row>
    <row r="17" spans="1:7" x14ac:dyDescent="0.2">
      <c r="B17">
        <v>2015</v>
      </c>
      <c r="C17">
        <v>2020</v>
      </c>
      <c r="D17">
        <v>2025</v>
      </c>
      <c r="E17">
        <v>2030</v>
      </c>
      <c r="F17">
        <v>2035</v>
      </c>
      <c r="G17">
        <v>2040</v>
      </c>
    </row>
    <row r="18" spans="1:7" x14ac:dyDescent="0.2">
      <c r="A18" t="s">
        <v>69</v>
      </c>
      <c r="B18" s="17">
        <v>6632</v>
      </c>
      <c r="C18" s="17">
        <v>6451</v>
      </c>
      <c r="D18" s="17">
        <v>6307</v>
      </c>
      <c r="E18" s="17">
        <v>6186</v>
      </c>
      <c r="F18" s="17">
        <v>6060</v>
      </c>
      <c r="G18" s="17">
        <v>5956</v>
      </c>
    </row>
    <row r="19" spans="1:7" x14ac:dyDescent="0.2">
      <c r="A19" t="s">
        <v>2</v>
      </c>
      <c r="B19" s="17">
        <v>4126</v>
      </c>
      <c r="C19" s="17">
        <v>3882</v>
      </c>
      <c r="D19" s="17">
        <v>3778</v>
      </c>
      <c r="E19" s="17">
        <v>3731</v>
      </c>
      <c r="F19" s="17">
        <v>3696</v>
      </c>
      <c r="G19" s="17">
        <v>3650</v>
      </c>
    </row>
    <row r="20" spans="1:7" x14ac:dyDescent="0.2">
      <c r="A20" t="s">
        <v>3</v>
      </c>
      <c r="B20" s="17">
        <v>4162</v>
      </c>
      <c r="C20" s="17">
        <v>4060</v>
      </c>
      <c r="D20" s="17">
        <v>3861</v>
      </c>
      <c r="E20" s="17">
        <v>3698</v>
      </c>
      <c r="F20" s="17">
        <v>3625</v>
      </c>
      <c r="G20" s="17">
        <v>3605</v>
      </c>
    </row>
    <row r="21" spans="1:7" x14ac:dyDescent="0.2">
      <c r="A21" t="s">
        <v>4</v>
      </c>
      <c r="B21" s="17">
        <v>4876</v>
      </c>
      <c r="C21" s="17">
        <v>4919</v>
      </c>
      <c r="D21" s="17">
        <v>5388</v>
      </c>
      <c r="E21" s="17">
        <v>5327</v>
      </c>
      <c r="F21" s="17">
        <v>5111</v>
      </c>
      <c r="G21" s="17">
        <v>4918</v>
      </c>
    </row>
    <row r="22" spans="1:7" x14ac:dyDescent="0.2">
      <c r="A22" t="s">
        <v>5</v>
      </c>
      <c r="B22" s="17">
        <v>7454</v>
      </c>
      <c r="C22" s="17">
        <v>6394</v>
      </c>
      <c r="D22" s="17">
        <v>5633</v>
      </c>
      <c r="E22" s="17">
        <v>5788</v>
      </c>
      <c r="F22" s="17">
        <v>6391</v>
      </c>
      <c r="G22" s="17">
        <v>6351</v>
      </c>
    </row>
    <row r="23" spans="1:7" x14ac:dyDescent="0.2">
      <c r="A23" t="s">
        <v>6</v>
      </c>
      <c r="B23" s="17">
        <v>9186</v>
      </c>
      <c r="C23" s="17">
        <v>9704</v>
      </c>
      <c r="D23" s="17">
        <v>9011</v>
      </c>
      <c r="E23" s="17">
        <v>7858</v>
      </c>
      <c r="F23" s="17">
        <v>6994</v>
      </c>
      <c r="G23" s="17">
        <v>7205</v>
      </c>
    </row>
    <row r="24" spans="1:7" x14ac:dyDescent="0.2">
      <c r="A24" t="s">
        <v>7</v>
      </c>
      <c r="B24" s="17">
        <v>7120</v>
      </c>
      <c r="C24" s="17">
        <v>8706</v>
      </c>
      <c r="D24" s="17">
        <v>10029</v>
      </c>
      <c r="E24" s="17">
        <v>10756</v>
      </c>
      <c r="F24" s="17">
        <v>10080</v>
      </c>
      <c r="G24" s="17">
        <v>8878</v>
      </c>
    </row>
    <row r="25" spans="1:7" x14ac:dyDescent="0.2">
      <c r="A25" t="s">
        <v>8</v>
      </c>
      <c r="B25" s="17">
        <v>3389</v>
      </c>
      <c r="C25" s="17">
        <v>4313</v>
      </c>
      <c r="D25" s="17">
        <v>5913</v>
      </c>
      <c r="E25" s="17">
        <v>7408</v>
      </c>
      <c r="F25" s="17">
        <v>8732</v>
      </c>
      <c r="G25" s="17">
        <v>9475</v>
      </c>
    </row>
    <row r="26" spans="1:7" x14ac:dyDescent="0.2">
      <c r="A26" t="s">
        <v>9</v>
      </c>
      <c r="B26" s="17">
        <v>1432</v>
      </c>
      <c r="C26" s="17">
        <v>1686</v>
      </c>
      <c r="D26" s="17">
        <v>2025</v>
      </c>
      <c r="E26" s="17">
        <v>2732</v>
      </c>
      <c r="F26" s="17">
        <v>3833</v>
      </c>
      <c r="G26" s="17">
        <v>4959</v>
      </c>
    </row>
    <row r="27" spans="1:7" x14ac:dyDescent="0.2">
      <c r="A27" t="s">
        <v>10</v>
      </c>
      <c r="B27" s="17">
        <v>48377</v>
      </c>
      <c r="C27" s="17">
        <v>50115</v>
      </c>
      <c r="D27" s="17">
        <v>51945</v>
      </c>
      <c r="E27" s="17">
        <v>53484</v>
      </c>
      <c r="F27" s="17">
        <v>54522</v>
      </c>
      <c r="G27" s="17">
        <v>54997</v>
      </c>
    </row>
    <row r="30" spans="1:7" x14ac:dyDescent="0.2">
      <c r="A30" t="s">
        <v>43</v>
      </c>
    </row>
    <row r="31" spans="1:7" x14ac:dyDescent="0.2">
      <c r="B31">
        <v>2015</v>
      </c>
      <c r="C31">
        <v>2020</v>
      </c>
      <c r="D31">
        <v>2025</v>
      </c>
      <c r="E31">
        <v>2030</v>
      </c>
      <c r="F31">
        <v>2035</v>
      </c>
      <c r="G31">
        <v>2040</v>
      </c>
    </row>
    <row r="32" spans="1:7" x14ac:dyDescent="0.2">
      <c r="A32" t="s">
        <v>69</v>
      </c>
      <c r="B32" s="17">
        <v>11826</v>
      </c>
      <c r="C32" s="17">
        <v>11835</v>
      </c>
      <c r="D32" s="17">
        <v>12150</v>
      </c>
      <c r="E32" s="17">
        <v>12234</v>
      </c>
      <c r="F32" s="17">
        <v>11880</v>
      </c>
      <c r="G32" s="17">
        <v>11447</v>
      </c>
    </row>
    <row r="33" spans="1:7" x14ac:dyDescent="0.2">
      <c r="A33" t="s">
        <v>2</v>
      </c>
      <c r="B33" s="17">
        <v>12133</v>
      </c>
      <c r="C33" s="17">
        <v>11370</v>
      </c>
      <c r="D33" s="17">
        <v>11207</v>
      </c>
      <c r="E33" s="17">
        <v>11103</v>
      </c>
      <c r="F33" s="17">
        <v>11450</v>
      </c>
      <c r="G33" s="17">
        <v>11750</v>
      </c>
    </row>
    <row r="34" spans="1:7" x14ac:dyDescent="0.2">
      <c r="A34" t="s">
        <v>3</v>
      </c>
      <c r="B34" s="17">
        <v>9562</v>
      </c>
      <c r="C34" s="17">
        <v>10467</v>
      </c>
      <c r="D34" s="17">
        <v>8935</v>
      </c>
      <c r="E34" s="17">
        <v>8031</v>
      </c>
      <c r="F34" s="17">
        <v>7931</v>
      </c>
      <c r="G34" s="17">
        <v>7854</v>
      </c>
    </row>
    <row r="35" spans="1:7" x14ac:dyDescent="0.2">
      <c r="A35" t="s">
        <v>4</v>
      </c>
      <c r="B35" s="17">
        <v>8195</v>
      </c>
      <c r="C35" s="17">
        <v>8264</v>
      </c>
      <c r="D35" s="17">
        <v>10233</v>
      </c>
      <c r="E35" s="17">
        <v>11310</v>
      </c>
      <c r="F35" s="17">
        <v>9743</v>
      </c>
      <c r="G35" s="17">
        <v>8818</v>
      </c>
    </row>
    <row r="36" spans="1:7" x14ac:dyDescent="0.2">
      <c r="A36" t="s">
        <v>5</v>
      </c>
      <c r="B36" s="17">
        <v>10575</v>
      </c>
      <c r="C36" s="17">
        <v>8941</v>
      </c>
      <c r="D36" s="17">
        <v>8093</v>
      </c>
      <c r="E36" s="17">
        <v>8255</v>
      </c>
      <c r="F36" s="17">
        <v>10358</v>
      </c>
      <c r="G36" s="17">
        <v>11509</v>
      </c>
    </row>
    <row r="37" spans="1:7" x14ac:dyDescent="0.2">
      <c r="A37" t="s">
        <v>6</v>
      </c>
      <c r="B37" s="17">
        <v>11558</v>
      </c>
      <c r="C37" s="17">
        <v>11376</v>
      </c>
      <c r="D37" s="17">
        <v>10191</v>
      </c>
      <c r="E37" s="17">
        <v>8720</v>
      </c>
      <c r="F37" s="17">
        <v>8001</v>
      </c>
      <c r="G37" s="17">
        <v>8240</v>
      </c>
    </row>
    <row r="38" spans="1:7" x14ac:dyDescent="0.2">
      <c r="A38" t="s">
        <v>7</v>
      </c>
      <c r="B38" s="17">
        <v>7785</v>
      </c>
      <c r="C38" s="17">
        <v>9444</v>
      </c>
      <c r="D38" s="17">
        <v>10277</v>
      </c>
      <c r="E38" s="17">
        <v>10260</v>
      </c>
      <c r="F38" s="17">
        <v>9325</v>
      </c>
      <c r="G38" s="17">
        <v>8087</v>
      </c>
    </row>
    <row r="39" spans="1:7" x14ac:dyDescent="0.2">
      <c r="A39" t="s">
        <v>8</v>
      </c>
      <c r="B39" s="17">
        <v>3811</v>
      </c>
      <c r="C39" s="17">
        <v>4535</v>
      </c>
      <c r="D39" s="17">
        <v>6003</v>
      </c>
      <c r="E39" s="17">
        <v>7439</v>
      </c>
      <c r="F39" s="17">
        <v>8287</v>
      </c>
      <c r="G39" s="17">
        <v>8434</v>
      </c>
    </row>
    <row r="40" spans="1:7" x14ac:dyDescent="0.2">
      <c r="A40" t="s">
        <v>9</v>
      </c>
      <c r="B40" s="17">
        <v>1683</v>
      </c>
      <c r="C40" s="17">
        <v>1820</v>
      </c>
      <c r="D40" s="17">
        <v>1996</v>
      </c>
      <c r="E40" s="17">
        <v>2509</v>
      </c>
      <c r="F40" s="17">
        <v>3406</v>
      </c>
      <c r="G40" s="17">
        <v>4332</v>
      </c>
    </row>
    <row r="41" spans="1:7" x14ac:dyDescent="0.2">
      <c r="A41" t="s">
        <v>10</v>
      </c>
      <c r="B41" s="17">
        <v>77128</v>
      </c>
      <c r="C41" s="17">
        <v>78052</v>
      </c>
      <c r="D41" s="17">
        <v>79085</v>
      </c>
      <c r="E41" s="17">
        <v>79861</v>
      </c>
      <c r="F41" s="17">
        <v>80381</v>
      </c>
      <c r="G41" s="17">
        <v>80471</v>
      </c>
    </row>
    <row r="42" spans="1:7" x14ac:dyDescent="0.2">
      <c r="B42" s="17"/>
      <c r="C42" s="17"/>
      <c r="D42" s="17"/>
      <c r="E42" s="17"/>
      <c r="F42" s="17"/>
      <c r="G42" s="17"/>
    </row>
    <row r="44" spans="1:7" x14ac:dyDescent="0.2">
      <c r="A44" t="s">
        <v>44</v>
      </c>
    </row>
    <row r="45" spans="1:7" x14ac:dyDescent="0.2">
      <c r="B45">
        <v>2015</v>
      </c>
      <c r="C45">
        <v>2020</v>
      </c>
      <c r="D45">
        <v>2025</v>
      </c>
      <c r="E45">
        <v>2030</v>
      </c>
      <c r="F45">
        <v>2035</v>
      </c>
      <c r="G45">
        <v>2040</v>
      </c>
    </row>
    <row r="46" spans="1:7" x14ac:dyDescent="0.2">
      <c r="A46" t="s">
        <v>69</v>
      </c>
      <c r="B46" s="17">
        <v>4575</v>
      </c>
      <c r="C46" s="17">
        <v>4254</v>
      </c>
      <c r="D46" s="17">
        <v>3918</v>
      </c>
      <c r="E46" s="17">
        <v>3599</v>
      </c>
      <c r="F46" s="17">
        <v>3322</v>
      </c>
      <c r="G46" s="17">
        <v>3091</v>
      </c>
    </row>
    <row r="47" spans="1:7" x14ac:dyDescent="0.2">
      <c r="A47" t="s">
        <v>2</v>
      </c>
      <c r="B47" s="17">
        <v>3097</v>
      </c>
      <c r="C47" s="17">
        <v>2780</v>
      </c>
      <c r="D47" s="17">
        <v>2645</v>
      </c>
      <c r="E47" s="17">
        <v>2500</v>
      </c>
      <c r="F47" s="17">
        <v>2337</v>
      </c>
      <c r="G47" s="17">
        <v>2162</v>
      </c>
    </row>
    <row r="48" spans="1:7" x14ac:dyDescent="0.2">
      <c r="A48" t="s">
        <v>3</v>
      </c>
      <c r="B48" s="17">
        <v>3167</v>
      </c>
      <c r="C48" s="17">
        <v>3001</v>
      </c>
      <c r="D48" s="17">
        <v>2717</v>
      </c>
      <c r="E48" s="17">
        <v>2440</v>
      </c>
      <c r="F48" s="17">
        <v>2339</v>
      </c>
      <c r="G48" s="17">
        <v>2230</v>
      </c>
    </row>
    <row r="49" spans="1:7" x14ac:dyDescent="0.2">
      <c r="A49" t="s">
        <v>4</v>
      </c>
      <c r="B49" s="17">
        <v>3567</v>
      </c>
      <c r="C49" s="17">
        <v>3445</v>
      </c>
      <c r="D49" s="17">
        <v>3443</v>
      </c>
      <c r="E49" s="17">
        <v>3281</v>
      </c>
      <c r="F49" s="17">
        <v>2975</v>
      </c>
      <c r="G49" s="17">
        <v>2675</v>
      </c>
    </row>
    <row r="50" spans="1:7" x14ac:dyDescent="0.2">
      <c r="A50" t="s">
        <v>5</v>
      </c>
      <c r="B50" s="17">
        <v>4866</v>
      </c>
      <c r="C50" s="17">
        <v>4132</v>
      </c>
      <c r="D50" s="17">
        <v>3651</v>
      </c>
      <c r="E50" s="17">
        <v>3554</v>
      </c>
      <c r="F50" s="17">
        <v>3574</v>
      </c>
      <c r="G50" s="17">
        <v>3417</v>
      </c>
    </row>
    <row r="51" spans="1:7" x14ac:dyDescent="0.2">
      <c r="A51" t="s">
        <v>6</v>
      </c>
      <c r="B51" s="17">
        <v>5782</v>
      </c>
      <c r="C51" s="17">
        <v>5651</v>
      </c>
      <c r="D51" s="17">
        <v>5005</v>
      </c>
      <c r="E51" s="17">
        <v>4277</v>
      </c>
      <c r="F51" s="17">
        <v>3794</v>
      </c>
      <c r="G51" s="17">
        <v>3704</v>
      </c>
    </row>
    <row r="52" spans="1:7" x14ac:dyDescent="0.2">
      <c r="A52" t="s">
        <v>7</v>
      </c>
      <c r="B52" s="17">
        <v>4092</v>
      </c>
      <c r="C52" s="17">
        <v>5074</v>
      </c>
      <c r="D52" s="17">
        <v>5650</v>
      </c>
      <c r="E52" s="17">
        <v>5571</v>
      </c>
      <c r="F52" s="17">
        <v>4974</v>
      </c>
      <c r="G52" s="17">
        <v>4286</v>
      </c>
    </row>
    <row r="53" spans="1:7" x14ac:dyDescent="0.2">
      <c r="A53" t="s">
        <v>8</v>
      </c>
      <c r="B53" s="17">
        <v>2056</v>
      </c>
      <c r="C53" s="17">
        <v>2359</v>
      </c>
      <c r="D53" s="17">
        <v>3037</v>
      </c>
      <c r="E53" s="17">
        <v>3845</v>
      </c>
      <c r="F53" s="17">
        <v>4353</v>
      </c>
      <c r="G53" s="17">
        <v>4348</v>
      </c>
    </row>
    <row r="54" spans="1:7" x14ac:dyDescent="0.2">
      <c r="A54" t="s">
        <v>9</v>
      </c>
      <c r="B54" s="17">
        <v>1090</v>
      </c>
      <c r="C54" s="17">
        <v>1095</v>
      </c>
      <c r="D54" s="17">
        <v>1167</v>
      </c>
      <c r="E54" s="17">
        <v>1375</v>
      </c>
      <c r="F54" s="17">
        <v>1793</v>
      </c>
      <c r="G54" s="17">
        <v>2296</v>
      </c>
    </row>
    <row r="55" spans="1:7" x14ac:dyDescent="0.2">
      <c r="A55" t="s">
        <v>10</v>
      </c>
      <c r="B55" s="17">
        <v>32292</v>
      </c>
      <c r="C55" s="17">
        <v>31791</v>
      </c>
      <c r="D55" s="17">
        <v>31233</v>
      </c>
      <c r="E55" s="17">
        <v>30442</v>
      </c>
      <c r="F55" s="17">
        <v>29461</v>
      </c>
      <c r="G55" s="17">
        <v>28209</v>
      </c>
    </row>
    <row r="58" spans="1:7" x14ac:dyDescent="0.2">
      <c r="A58" t="s">
        <v>45</v>
      </c>
    </row>
    <row r="59" spans="1:7" x14ac:dyDescent="0.2">
      <c r="B59">
        <v>2015</v>
      </c>
      <c r="C59">
        <v>2020</v>
      </c>
      <c r="D59">
        <v>2025</v>
      </c>
      <c r="E59">
        <v>2030</v>
      </c>
      <c r="F59">
        <v>2035</v>
      </c>
      <c r="G59">
        <v>2040</v>
      </c>
    </row>
    <row r="60" spans="1:7" x14ac:dyDescent="0.2">
      <c r="A60" t="s">
        <v>69</v>
      </c>
      <c r="B60" s="17">
        <v>12443</v>
      </c>
      <c r="C60" s="17">
        <v>12002</v>
      </c>
      <c r="D60" s="17">
        <v>11198</v>
      </c>
      <c r="E60" s="17">
        <v>10568</v>
      </c>
      <c r="F60" s="17">
        <v>10398</v>
      </c>
      <c r="G60" s="17">
        <v>10917</v>
      </c>
    </row>
    <row r="61" spans="1:7" x14ac:dyDescent="0.2">
      <c r="A61" t="s">
        <v>2</v>
      </c>
      <c r="B61" s="17">
        <v>14911</v>
      </c>
      <c r="C61" s="17">
        <v>16019</v>
      </c>
      <c r="D61" s="17">
        <v>17508</v>
      </c>
      <c r="E61" s="17">
        <v>17342</v>
      </c>
      <c r="F61" s="17">
        <v>16965</v>
      </c>
      <c r="G61" s="17">
        <v>16376</v>
      </c>
    </row>
    <row r="62" spans="1:7" x14ac:dyDescent="0.2">
      <c r="A62" t="s">
        <v>3</v>
      </c>
      <c r="B62" s="17">
        <v>10100</v>
      </c>
      <c r="C62" s="17">
        <v>8722</v>
      </c>
      <c r="D62" s="17">
        <v>6638</v>
      </c>
      <c r="E62" s="17">
        <v>7385</v>
      </c>
      <c r="F62" s="17">
        <v>8419</v>
      </c>
      <c r="G62" s="17">
        <v>8298</v>
      </c>
    </row>
    <row r="63" spans="1:7" x14ac:dyDescent="0.2">
      <c r="A63" t="s">
        <v>4</v>
      </c>
      <c r="B63" s="17">
        <v>9226</v>
      </c>
      <c r="C63" s="17">
        <v>9252</v>
      </c>
      <c r="D63" s="17">
        <v>10099</v>
      </c>
      <c r="E63" s="17">
        <v>8900</v>
      </c>
      <c r="F63" s="17">
        <v>6728</v>
      </c>
      <c r="G63" s="17">
        <v>7497</v>
      </c>
    </row>
    <row r="64" spans="1:7" x14ac:dyDescent="0.2">
      <c r="A64" t="s">
        <v>5</v>
      </c>
      <c r="B64" s="17">
        <v>12237</v>
      </c>
      <c r="C64" s="17">
        <v>10800</v>
      </c>
      <c r="D64" s="17">
        <v>10063</v>
      </c>
      <c r="E64" s="17">
        <v>10231</v>
      </c>
      <c r="F64" s="17">
        <v>11275</v>
      </c>
      <c r="G64" s="17">
        <v>9943</v>
      </c>
    </row>
    <row r="65" spans="1:7" x14ac:dyDescent="0.2">
      <c r="A65" t="s">
        <v>6</v>
      </c>
      <c r="B65" s="17">
        <v>14076</v>
      </c>
      <c r="C65" s="17">
        <v>14215</v>
      </c>
      <c r="D65" s="17">
        <v>12878</v>
      </c>
      <c r="E65" s="17">
        <v>11535</v>
      </c>
      <c r="F65" s="17">
        <v>10863</v>
      </c>
      <c r="G65" s="17">
        <v>11085</v>
      </c>
    </row>
    <row r="66" spans="1:7" x14ac:dyDescent="0.2">
      <c r="A66" t="s">
        <v>7</v>
      </c>
      <c r="B66" s="17">
        <v>9747</v>
      </c>
      <c r="C66" s="17">
        <v>12153</v>
      </c>
      <c r="D66" s="17">
        <v>13823</v>
      </c>
      <c r="E66" s="17">
        <v>14174</v>
      </c>
      <c r="F66" s="17">
        <v>12997</v>
      </c>
      <c r="G66" s="17">
        <v>11732</v>
      </c>
    </row>
    <row r="67" spans="1:7" x14ac:dyDescent="0.2">
      <c r="A67" t="s">
        <v>8</v>
      </c>
      <c r="B67" s="17">
        <v>4647</v>
      </c>
      <c r="C67" s="17">
        <v>5940</v>
      </c>
      <c r="D67" s="17">
        <v>8107</v>
      </c>
      <c r="E67" s="17">
        <v>10350</v>
      </c>
      <c r="F67" s="17">
        <v>12003</v>
      </c>
      <c r="G67" s="17">
        <v>12428</v>
      </c>
    </row>
    <row r="68" spans="1:7" x14ac:dyDescent="0.2">
      <c r="A68" t="s">
        <v>9</v>
      </c>
      <c r="B68" s="17">
        <v>2279</v>
      </c>
      <c r="C68" s="17">
        <v>2511</v>
      </c>
      <c r="D68" s="17">
        <v>2910</v>
      </c>
      <c r="E68" s="17">
        <v>3874</v>
      </c>
      <c r="F68" s="17">
        <v>5370</v>
      </c>
      <c r="G68" s="17">
        <v>6999</v>
      </c>
    </row>
    <row r="69" spans="1:7" x14ac:dyDescent="0.2">
      <c r="A69" t="s">
        <v>10</v>
      </c>
      <c r="B69" s="17">
        <v>89666</v>
      </c>
      <c r="C69" s="17">
        <v>91614</v>
      </c>
      <c r="D69" s="17">
        <v>93224</v>
      </c>
      <c r="E69" s="17">
        <v>94359</v>
      </c>
      <c r="F69" s="17">
        <v>95018</v>
      </c>
      <c r="G69" s="17">
        <v>95275</v>
      </c>
    </row>
    <row r="72" spans="1:7" x14ac:dyDescent="0.2">
      <c r="A72" t="s">
        <v>46</v>
      </c>
    </row>
    <row r="73" spans="1:7" x14ac:dyDescent="0.2">
      <c r="B73">
        <v>2015</v>
      </c>
      <c r="C73">
        <v>2020</v>
      </c>
      <c r="D73">
        <v>2025</v>
      </c>
      <c r="E73">
        <v>2030</v>
      </c>
      <c r="F73">
        <v>2035</v>
      </c>
      <c r="G73">
        <v>2040</v>
      </c>
    </row>
    <row r="74" spans="1:7" x14ac:dyDescent="0.2">
      <c r="A74" t="s">
        <v>69</v>
      </c>
      <c r="B74" s="17">
        <v>72250</v>
      </c>
      <c r="C74" s="17">
        <v>70067</v>
      </c>
      <c r="D74" s="17">
        <v>69575</v>
      </c>
      <c r="E74" s="17">
        <v>69942</v>
      </c>
      <c r="F74" s="17">
        <v>68779</v>
      </c>
      <c r="G74" s="17">
        <v>66605</v>
      </c>
    </row>
    <row r="75" spans="1:7" x14ac:dyDescent="0.2">
      <c r="A75" t="s">
        <v>2</v>
      </c>
      <c r="B75" s="17">
        <v>50074</v>
      </c>
      <c r="C75" s="17">
        <v>47834</v>
      </c>
      <c r="D75" s="17">
        <v>46138</v>
      </c>
      <c r="E75" s="17">
        <v>43921</v>
      </c>
      <c r="F75" s="17">
        <v>43471</v>
      </c>
      <c r="G75" s="17">
        <v>44198</v>
      </c>
    </row>
    <row r="76" spans="1:7" x14ac:dyDescent="0.2">
      <c r="A76" t="s">
        <v>3</v>
      </c>
      <c r="B76" s="17">
        <v>53224</v>
      </c>
      <c r="C76" s="17">
        <v>56439</v>
      </c>
      <c r="D76" s="17">
        <v>55227</v>
      </c>
      <c r="E76" s="17">
        <v>52484</v>
      </c>
      <c r="F76" s="17">
        <v>50522</v>
      </c>
      <c r="G76" s="17">
        <v>47883</v>
      </c>
    </row>
    <row r="77" spans="1:7" x14ac:dyDescent="0.2">
      <c r="A77" t="s">
        <v>4</v>
      </c>
      <c r="B77" s="17">
        <v>51204</v>
      </c>
      <c r="C77" s="17">
        <v>51424</v>
      </c>
      <c r="D77" s="17">
        <v>56509</v>
      </c>
      <c r="E77" s="17">
        <v>59981</v>
      </c>
      <c r="F77" s="17">
        <v>58554</v>
      </c>
      <c r="G77" s="17">
        <v>55743</v>
      </c>
    </row>
    <row r="78" spans="1:7" x14ac:dyDescent="0.2">
      <c r="A78" t="s">
        <v>5</v>
      </c>
      <c r="B78" s="17">
        <v>64051</v>
      </c>
      <c r="C78" s="17">
        <v>55566</v>
      </c>
      <c r="D78" s="17">
        <v>50135</v>
      </c>
      <c r="E78" s="17">
        <v>50545</v>
      </c>
      <c r="F78" s="17">
        <v>55582</v>
      </c>
      <c r="G78" s="17">
        <v>59069</v>
      </c>
    </row>
    <row r="79" spans="1:7" x14ac:dyDescent="0.2">
      <c r="A79" t="s">
        <v>6</v>
      </c>
      <c r="B79" s="17">
        <v>56631</v>
      </c>
      <c r="C79" s="17">
        <v>62462</v>
      </c>
      <c r="D79" s="17">
        <v>59260</v>
      </c>
      <c r="E79" s="17">
        <v>51649</v>
      </c>
      <c r="F79" s="17">
        <v>46711</v>
      </c>
      <c r="G79" s="17">
        <v>47298</v>
      </c>
    </row>
    <row r="80" spans="1:7" x14ac:dyDescent="0.2">
      <c r="A80" t="s">
        <v>7</v>
      </c>
      <c r="B80" s="17">
        <v>34087</v>
      </c>
      <c r="C80" s="17">
        <v>42176</v>
      </c>
      <c r="D80" s="17">
        <v>49224</v>
      </c>
      <c r="E80" s="17">
        <v>54671</v>
      </c>
      <c r="F80" s="17">
        <v>52070</v>
      </c>
      <c r="G80" s="17">
        <v>45653</v>
      </c>
    </row>
    <row r="81" spans="1:7" x14ac:dyDescent="0.2">
      <c r="A81" t="s">
        <v>8</v>
      </c>
      <c r="B81" s="17">
        <v>16174</v>
      </c>
      <c r="C81" s="17">
        <v>20047</v>
      </c>
      <c r="D81" s="17">
        <v>27517</v>
      </c>
      <c r="E81" s="17">
        <v>34441</v>
      </c>
      <c r="F81" s="17">
        <v>40716</v>
      </c>
      <c r="G81" s="17">
        <v>45713</v>
      </c>
    </row>
    <row r="82" spans="1:7" x14ac:dyDescent="0.2">
      <c r="A82" t="s">
        <v>9</v>
      </c>
      <c r="B82" s="17">
        <v>7685</v>
      </c>
      <c r="C82" s="17">
        <v>8341</v>
      </c>
      <c r="D82" s="17">
        <v>9532</v>
      </c>
      <c r="E82" s="17">
        <v>12142</v>
      </c>
      <c r="F82" s="17">
        <v>16861</v>
      </c>
      <c r="G82" s="17">
        <v>21219</v>
      </c>
    </row>
    <row r="83" spans="1:7" x14ac:dyDescent="0.2">
      <c r="A83" t="s">
        <v>10</v>
      </c>
      <c r="B83" s="17">
        <v>405380</v>
      </c>
      <c r="C83" s="17">
        <v>414356</v>
      </c>
      <c r="D83" s="17">
        <v>423117</v>
      </c>
      <c r="E83" s="17">
        <v>429776</v>
      </c>
      <c r="F83" s="17">
        <v>433266</v>
      </c>
      <c r="G83" s="17">
        <v>433381</v>
      </c>
    </row>
    <row r="86" spans="1:7" x14ac:dyDescent="0.2">
      <c r="A86" t="s">
        <v>47</v>
      </c>
    </row>
    <row r="87" spans="1:7" x14ac:dyDescent="0.2">
      <c r="B87">
        <v>2015</v>
      </c>
      <c r="C87">
        <v>2020</v>
      </c>
      <c r="D87">
        <v>2025</v>
      </c>
      <c r="E87">
        <v>2030</v>
      </c>
      <c r="F87">
        <v>2035</v>
      </c>
      <c r="G87">
        <v>2040</v>
      </c>
    </row>
    <row r="88" spans="1:7" x14ac:dyDescent="0.2">
      <c r="A88" t="s">
        <v>69</v>
      </c>
      <c r="B88" s="17">
        <v>24109</v>
      </c>
      <c r="C88" s="17">
        <v>23168</v>
      </c>
      <c r="D88" s="17">
        <v>22776</v>
      </c>
      <c r="E88" s="17">
        <v>22705</v>
      </c>
      <c r="F88" s="17">
        <v>22245</v>
      </c>
      <c r="G88" s="17">
        <v>21574</v>
      </c>
    </row>
    <row r="89" spans="1:7" x14ac:dyDescent="0.2">
      <c r="A89" t="s">
        <v>2</v>
      </c>
      <c r="B89" s="17">
        <v>18772</v>
      </c>
      <c r="C89" s="17">
        <v>17785</v>
      </c>
      <c r="D89" s="17">
        <v>17285</v>
      </c>
      <c r="E89" s="17">
        <v>16631</v>
      </c>
      <c r="F89" s="17">
        <v>16419</v>
      </c>
      <c r="G89" s="17">
        <v>16485</v>
      </c>
    </row>
    <row r="90" spans="1:7" x14ac:dyDescent="0.2">
      <c r="A90" t="s">
        <v>3</v>
      </c>
      <c r="B90" s="17">
        <v>16964</v>
      </c>
      <c r="C90" s="17">
        <v>17097</v>
      </c>
      <c r="D90" s="17">
        <v>17013</v>
      </c>
      <c r="E90" s="17">
        <v>16122</v>
      </c>
      <c r="F90" s="17">
        <v>15644</v>
      </c>
      <c r="G90" s="17">
        <v>14988</v>
      </c>
    </row>
    <row r="91" spans="1:7" x14ac:dyDescent="0.2">
      <c r="A91" t="s">
        <v>4</v>
      </c>
      <c r="B91" s="17">
        <v>17716</v>
      </c>
      <c r="C91" s="17">
        <v>18307</v>
      </c>
      <c r="D91" s="17">
        <v>19499</v>
      </c>
      <c r="E91" s="17">
        <v>19918</v>
      </c>
      <c r="F91" s="17">
        <v>19771</v>
      </c>
      <c r="G91" s="17">
        <v>18759</v>
      </c>
    </row>
    <row r="92" spans="1:7" x14ac:dyDescent="0.2">
      <c r="A92" t="s">
        <v>5</v>
      </c>
      <c r="B92" s="17">
        <v>22908</v>
      </c>
      <c r="C92" s="17">
        <v>19745</v>
      </c>
      <c r="D92" s="17">
        <v>17974</v>
      </c>
      <c r="E92" s="17">
        <v>18845</v>
      </c>
      <c r="F92" s="17">
        <v>20107</v>
      </c>
      <c r="G92" s="17">
        <v>20574</v>
      </c>
    </row>
    <row r="93" spans="1:7" x14ac:dyDescent="0.2">
      <c r="A93" t="s">
        <v>6</v>
      </c>
      <c r="B93" s="17">
        <v>23106</v>
      </c>
      <c r="C93" s="17">
        <v>24171</v>
      </c>
      <c r="D93" s="17">
        <v>22355</v>
      </c>
      <c r="E93" s="17">
        <v>19525</v>
      </c>
      <c r="F93" s="17">
        <v>17820</v>
      </c>
      <c r="G93" s="17">
        <v>18762</v>
      </c>
    </row>
    <row r="94" spans="1:7" x14ac:dyDescent="0.2">
      <c r="A94" t="s">
        <v>7</v>
      </c>
      <c r="B94" s="17">
        <v>14183</v>
      </c>
      <c r="C94" s="17">
        <v>18173</v>
      </c>
      <c r="D94" s="17">
        <v>21361</v>
      </c>
      <c r="E94" s="17">
        <v>22728</v>
      </c>
      <c r="F94" s="17">
        <v>21118</v>
      </c>
      <c r="G94" s="17">
        <v>18542</v>
      </c>
    </row>
    <row r="95" spans="1:7" x14ac:dyDescent="0.2">
      <c r="A95" t="s">
        <v>8</v>
      </c>
      <c r="B95" s="17">
        <v>6755</v>
      </c>
      <c r="C95" s="17">
        <v>8344</v>
      </c>
      <c r="D95" s="17">
        <v>11725</v>
      </c>
      <c r="E95" s="17">
        <v>15370</v>
      </c>
      <c r="F95" s="17">
        <v>18295</v>
      </c>
      <c r="G95" s="17">
        <v>19654</v>
      </c>
    </row>
    <row r="96" spans="1:7" x14ac:dyDescent="0.2">
      <c r="A96" t="s">
        <v>9</v>
      </c>
      <c r="B96" s="17">
        <v>3530</v>
      </c>
      <c r="C96" s="17">
        <v>3862</v>
      </c>
      <c r="D96" s="17">
        <v>4366</v>
      </c>
      <c r="E96" s="17">
        <v>5651</v>
      </c>
      <c r="F96" s="17">
        <v>7958</v>
      </c>
      <c r="G96" s="17">
        <v>10507</v>
      </c>
    </row>
    <row r="97" spans="1:7" x14ac:dyDescent="0.2">
      <c r="A97" t="s">
        <v>10</v>
      </c>
      <c r="B97" s="17">
        <v>148043</v>
      </c>
      <c r="C97" s="17">
        <v>150652</v>
      </c>
      <c r="D97" s="17">
        <v>154354</v>
      </c>
      <c r="E97" s="17">
        <v>157495</v>
      </c>
      <c r="F97" s="17">
        <v>159377</v>
      </c>
      <c r="G97" s="17">
        <v>159845</v>
      </c>
    </row>
    <row r="100" spans="1:7" x14ac:dyDescent="0.2">
      <c r="A100" t="s">
        <v>48</v>
      </c>
    </row>
    <row r="101" spans="1:7" x14ac:dyDescent="0.2">
      <c r="B101">
        <v>2015</v>
      </c>
      <c r="C101">
        <v>2020</v>
      </c>
      <c r="D101">
        <v>2025</v>
      </c>
      <c r="E101">
        <v>2030</v>
      </c>
      <c r="F101">
        <v>2035</v>
      </c>
      <c r="G101">
        <v>2040</v>
      </c>
    </row>
    <row r="102" spans="1:7" x14ac:dyDescent="0.2">
      <c r="A102" t="s">
        <v>69</v>
      </c>
      <c r="B102" s="17">
        <v>48331</v>
      </c>
      <c r="C102" s="17">
        <v>45158</v>
      </c>
      <c r="D102" s="17">
        <v>44747</v>
      </c>
      <c r="E102" s="17">
        <v>46206</v>
      </c>
      <c r="F102" s="17">
        <v>45898</v>
      </c>
      <c r="G102" s="17">
        <v>43753</v>
      </c>
    </row>
    <row r="103" spans="1:7" x14ac:dyDescent="0.2">
      <c r="A103" t="s">
        <v>2</v>
      </c>
      <c r="B103" s="17">
        <v>34623</v>
      </c>
      <c r="C103" s="17">
        <v>32770</v>
      </c>
      <c r="D103" s="17">
        <v>29653</v>
      </c>
      <c r="E103" s="17">
        <v>26129</v>
      </c>
      <c r="F103" s="17">
        <v>25512</v>
      </c>
      <c r="G103" s="17">
        <v>26960</v>
      </c>
    </row>
    <row r="104" spans="1:7" x14ac:dyDescent="0.2">
      <c r="A104" t="s">
        <v>3</v>
      </c>
      <c r="B104" s="17">
        <v>34433</v>
      </c>
      <c r="C104" s="17">
        <v>38723</v>
      </c>
      <c r="D104" s="17">
        <v>39073</v>
      </c>
      <c r="E104" s="17">
        <v>36886</v>
      </c>
      <c r="F104" s="17">
        <v>33517</v>
      </c>
      <c r="G104" s="17">
        <v>29595</v>
      </c>
    </row>
    <row r="105" spans="1:7" x14ac:dyDescent="0.2">
      <c r="A105" t="s">
        <v>4</v>
      </c>
      <c r="B105" s="17">
        <v>35669</v>
      </c>
      <c r="C105" s="17">
        <v>35952</v>
      </c>
      <c r="D105" s="17">
        <v>42601</v>
      </c>
      <c r="E105" s="17">
        <v>47563</v>
      </c>
      <c r="F105" s="17">
        <v>47818</v>
      </c>
      <c r="G105" s="17">
        <v>45249</v>
      </c>
    </row>
    <row r="106" spans="1:7" x14ac:dyDescent="0.2">
      <c r="A106" t="s">
        <v>5</v>
      </c>
      <c r="B106" s="17">
        <v>51495</v>
      </c>
      <c r="C106" s="17">
        <v>43041</v>
      </c>
      <c r="D106" s="17">
        <v>35949</v>
      </c>
      <c r="E106" s="17">
        <v>36268</v>
      </c>
      <c r="F106" s="17">
        <v>43009</v>
      </c>
      <c r="G106" s="17">
        <v>48127</v>
      </c>
    </row>
    <row r="107" spans="1:7" x14ac:dyDescent="0.2">
      <c r="A107" t="s">
        <v>6</v>
      </c>
      <c r="B107" s="17">
        <v>47078</v>
      </c>
      <c r="C107" s="17">
        <v>51957</v>
      </c>
      <c r="D107" s="17">
        <v>48611</v>
      </c>
      <c r="E107" s="17">
        <v>40525</v>
      </c>
      <c r="F107" s="17">
        <v>33909</v>
      </c>
      <c r="G107" s="17">
        <v>34444</v>
      </c>
    </row>
    <row r="108" spans="1:7" x14ac:dyDescent="0.2">
      <c r="A108" t="s">
        <v>7</v>
      </c>
      <c r="B108" s="17">
        <v>28958</v>
      </c>
      <c r="C108" s="17">
        <v>35851</v>
      </c>
      <c r="D108" s="17">
        <v>41785</v>
      </c>
      <c r="E108" s="17">
        <v>46089</v>
      </c>
      <c r="F108" s="17">
        <v>43255</v>
      </c>
      <c r="G108" s="17">
        <v>36332</v>
      </c>
    </row>
    <row r="109" spans="1:7" x14ac:dyDescent="0.2">
      <c r="A109" t="s">
        <v>8</v>
      </c>
      <c r="B109" s="17">
        <v>12964</v>
      </c>
      <c r="C109" s="17">
        <v>16605</v>
      </c>
      <c r="D109" s="17">
        <v>23166</v>
      </c>
      <c r="E109" s="17">
        <v>28801</v>
      </c>
      <c r="F109" s="17">
        <v>34018</v>
      </c>
      <c r="G109" s="17">
        <v>37987</v>
      </c>
    </row>
    <row r="110" spans="1:7" x14ac:dyDescent="0.2">
      <c r="A110" t="s">
        <v>9</v>
      </c>
      <c r="B110" s="17">
        <v>5727</v>
      </c>
      <c r="C110" s="17">
        <v>6810</v>
      </c>
      <c r="D110" s="17">
        <v>8034</v>
      </c>
      <c r="E110" s="17">
        <v>10598</v>
      </c>
      <c r="F110" s="17">
        <v>14904</v>
      </c>
      <c r="G110" s="17">
        <v>18779</v>
      </c>
    </row>
    <row r="111" spans="1:7" x14ac:dyDescent="0.2">
      <c r="A111" t="s">
        <v>10</v>
      </c>
      <c r="B111" s="17">
        <v>299278</v>
      </c>
      <c r="C111" s="17">
        <v>306867</v>
      </c>
      <c r="D111" s="17">
        <v>313619</v>
      </c>
      <c r="E111" s="17">
        <v>319065</v>
      </c>
      <c r="F111" s="17">
        <v>321840</v>
      </c>
      <c r="G111" s="17">
        <v>321226</v>
      </c>
    </row>
    <row r="114" spans="1:7" x14ac:dyDescent="0.2">
      <c r="A114" t="s">
        <v>49</v>
      </c>
    </row>
    <row r="115" spans="1:7" x14ac:dyDescent="0.2">
      <c r="B115">
        <v>2015</v>
      </c>
      <c r="C115">
        <v>2020</v>
      </c>
      <c r="D115">
        <v>2025</v>
      </c>
      <c r="E115">
        <v>2030</v>
      </c>
      <c r="F115">
        <v>2035</v>
      </c>
      <c r="G115">
        <v>2040</v>
      </c>
    </row>
    <row r="116" spans="1:7" x14ac:dyDescent="0.2">
      <c r="A116" t="s">
        <v>69</v>
      </c>
      <c r="B116" s="17">
        <v>20311</v>
      </c>
      <c r="C116" s="17">
        <v>19873</v>
      </c>
      <c r="D116" s="17">
        <v>19752</v>
      </c>
      <c r="E116" s="17">
        <v>19937</v>
      </c>
      <c r="F116" s="17">
        <v>19822</v>
      </c>
      <c r="G116" s="17">
        <v>19441</v>
      </c>
    </row>
    <row r="117" spans="1:7" x14ac:dyDescent="0.2">
      <c r="A117" t="s">
        <v>2</v>
      </c>
      <c r="B117" s="17">
        <v>23214</v>
      </c>
      <c r="C117" s="17">
        <v>22317</v>
      </c>
      <c r="D117" s="17">
        <v>22272</v>
      </c>
      <c r="E117" s="17">
        <v>21933</v>
      </c>
      <c r="F117" s="17">
        <v>21801</v>
      </c>
      <c r="G117" s="17">
        <v>22094</v>
      </c>
    </row>
    <row r="118" spans="1:7" x14ac:dyDescent="0.2">
      <c r="A118" t="s">
        <v>3</v>
      </c>
      <c r="B118" s="17">
        <v>15521</v>
      </c>
      <c r="C118" s="17">
        <v>16434</v>
      </c>
      <c r="D118" s="17">
        <v>16477</v>
      </c>
      <c r="E118" s="17">
        <v>15461</v>
      </c>
      <c r="F118" s="17">
        <v>15459</v>
      </c>
      <c r="G118" s="17">
        <v>15034</v>
      </c>
    </row>
    <row r="119" spans="1:7" x14ac:dyDescent="0.2">
      <c r="A119" t="s">
        <v>4</v>
      </c>
      <c r="B119" s="17">
        <v>14551</v>
      </c>
      <c r="C119" s="17">
        <v>14936</v>
      </c>
      <c r="D119" s="17">
        <v>15824</v>
      </c>
      <c r="E119" s="17">
        <v>16957</v>
      </c>
      <c r="F119" s="17">
        <v>17011</v>
      </c>
      <c r="G119" s="17">
        <v>16054</v>
      </c>
    </row>
    <row r="120" spans="1:7" x14ac:dyDescent="0.2">
      <c r="A120" t="s">
        <v>5</v>
      </c>
      <c r="B120" s="17">
        <v>17825</v>
      </c>
      <c r="C120" s="17">
        <v>15599</v>
      </c>
      <c r="D120" s="17">
        <v>14342</v>
      </c>
      <c r="E120" s="17">
        <v>14854</v>
      </c>
      <c r="F120" s="17">
        <v>15852</v>
      </c>
      <c r="G120" s="17">
        <v>17077</v>
      </c>
    </row>
    <row r="121" spans="1:7" x14ac:dyDescent="0.2">
      <c r="A121" t="s">
        <v>6</v>
      </c>
      <c r="B121" s="17">
        <v>16703</v>
      </c>
      <c r="C121" s="17">
        <v>18222</v>
      </c>
      <c r="D121" s="17">
        <v>16995</v>
      </c>
      <c r="E121" s="17">
        <v>15018</v>
      </c>
      <c r="F121" s="17">
        <v>13936</v>
      </c>
      <c r="G121" s="17">
        <v>14533</v>
      </c>
    </row>
    <row r="122" spans="1:7" x14ac:dyDescent="0.2">
      <c r="A122" t="s">
        <v>7</v>
      </c>
      <c r="B122" s="17">
        <v>10308</v>
      </c>
      <c r="C122" s="17">
        <v>12725</v>
      </c>
      <c r="D122" s="17">
        <v>15236</v>
      </c>
      <c r="E122" s="17">
        <v>16795</v>
      </c>
      <c r="F122" s="17">
        <v>15825</v>
      </c>
      <c r="G122" s="17">
        <v>14119</v>
      </c>
    </row>
    <row r="123" spans="1:7" x14ac:dyDescent="0.2">
      <c r="A123" t="s">
        <v>8</v>
      </c>
      <c r="B123" s="17">
        <v>4828</v>
      </c>
      <c r="C123" s="17">
        <v>5707</v>
      </c>
      <c r="D123" s="17">
        <v>7756</v>
      </c>
      <c r="E123" s="17">
        <v>9732</v>
      </c>
      <c r="F123" s="17">
        <v>11914</v>
      </c>
      <c r="G123" s="17">
        <v>13273</v>
      </c>
    </row>
    <row r="124" spans="1:7" x14ac:dyDescent="0.2">
      <c r="A124" t="s">
        <v>9</v>
      </c>
      <c r="B124" s="17">
        <v>2228</v>
      </c>
      <c r="C124" s="17">
        <v>2406</v>
      </c>
      <c r="D124" s="17">
        <v>2543</v>
      </c>
      <c r="E124" s="17">
        <v>3180</v>
      </c>
      <c r="F124" s="17">
        <v>4352</v>
      </c>
      <c r="G124" s="17">
        <v>5551</v>
      </c>
    </row>
    <row r="125" spans="1:7" x14ac:dyDescent="0.2">
      <c r="A125" t="s">
        <v>10</v>
      </c>
      <c r="B125" s="17">
        <v>125489</v>
      </c>
      <c r="C125" s="17">
        <v>128219</v>
      </c>
      <c r="D125" s="17">
        <v>131197</v>
      </c>
      <c r="E125" s="17">
        <v>133867</v>
      </c>
      <c r="F125" s="17">
        <v>135972</v>
      </c>
      <c r="G125" s="17">
        <v>137176</v>
      </c>
    </row>
    <row r="128" spans="1:7" x14ac:dyDescent="0.2">
      <c r="A128" t="s">
        <v>50</v>
      </c>
    </row>
    <row r="129" spans="1:7" x14ac:dyDescent="0.2">
      <c r="B129">
        <v>2015</v>
      </c>
      <c r="C129">
        <v>2020</v>
      </c>
      <c r="D129">
        <v>2025</v>
      </c>
      <c r="E129">
        <v>2030</v>
      </c>
      <c r="F129">
        <v>2035</v>
      </c>
      <c r="G129">
        <v>2040</v>
      </c>
    </row>
    <row r="130" spans="1:7" x14ac:dyDescent="0.2">
      <c r="A130" t="s">
        <v>69</v>
      </c>
      <c r="B130" s="17">
        <v>7139</v>
      </c>
      <c r="C130" s="17">
        <v>6810</v>
      </c>
      <c r="D130" s="17">
        <v>6549</v>
      </c>
      <c r="E130" s="17">
        <v>6545</v>
      </c>
      <c r="F130" s="17">
        <v>6488</v>
      </c>
      <c r="G130" s="17">
        <v>6403</v>
      </c>
    </row>
    <row r="131" spans="1:7" x14ac:dyDescent="0.2">
      <c r="A131" t="s">
        <v>2</v>
      </c>
      <c r="B131" s="17">
        <v>4379</v>
      </c>
      <c r="C131" s="17">
        <v>4248</v>
      </c>
      <c r="D131" s="17">
        <v>4229</v>
      </c>
      <c r="E131" s="17">
        <v>4012</v>
      </c>
      <c r="F131" s="17">
        <v>3874</v>
      </c>
      <c r="G131" s="17">
        <v>3891</v>
      </c>
    </row>
    <row r="132" spans="1:7" x14ac:dyDescent="0.2">
      <c r="A132" t="s">
        <v>3</v>
      </c>
      <c r="B132" s="17">
        <v>4861</v>
      </c>
      <c r="C132" s="17">
        <v>4820</v>
      </c>
      <c r="D132" s="17">
        <v>4596</v>
      </c>
      <c r="E132" s="17">
        <v>4520</v>
      </c>
      <c r="F132" s="17">
        <v>4549</v>
      </c>
      <c r="G132" s="17">
        <v>4362</v>
      </c>
    </row>
    <row r="133" spans="1:7" x14ac:dyDescent="0.2">
      <c r="A133" t="s">
        <v>4</v>
      </c>
      <c r="B133" s="17">
        <v>5194</v>
      </c>
      <c r="C133" s="17">
        <v>5292</v>
      </c>
      <c r="D133" s="17">
        <v>5774</v>
      </c>
      <c r="E133" s="17">
        <v>5807</v>
      </c>
      <c r="F133" s="17">
        <v>5578</v>
      </c>
      <c r="G133" s="17">
        <v>5508</v>
      </c>
    </row>
    <row r="134" spans="1:7" x14ac:dyDescent="0.2">
      <c r="A134" t="s">
        <v>5</v>
      </c>
      <c r="B134" s="17">
        <v>6907</v>
      </c>
      <c r="C134" s="17">
        <v>6244</v>
      </c>
      <c r="D134" s="17">
        <v>5716</v>
      </c>
      <c r="E134" s="17">
        <v>5926</v>
      </c>
      <c r="F134" s="17">
        <v>6523</v>
      </c>
      <c r="G134" s="17">
        <v>6575</v>
      </c>
    </row>
    <row r="135" spans="1:7" x14ac:dyDescent="0.2">
      <c r="A135" t="s">
        <v>6</v>
      </c>
      <c r="B135" s="17">
        <v>7328</v>
      </c>
      <c r="C135" s="17">
        <v>7623</v>
      </c>
      <c r="D135" s="17">
        <v>7313</v>
      </c>
      <c r="E135" s="17">
        <v>6735</v>
      </c>
      <c r="F135" s="17">
        <v>6229</v>
      </c>
      <c r="G135" s="17">
        <v>6495</v>
      </c>
    </row>
    <row r="136" spans="1:7" x14ac:dyDescent="0.2">
      <c r="A136" t="s">
        <v>7</v>
      </c>
      <c r="B136" s="17">
        <v>5250</v>
      </c>
      <c r="C136" s="17">
        <v>6425</v>
      </c>
      <c r="D136" s="17">
        <v>7250</v>
      </c>
      <c r="E136" s="17">
        <v>7692</v>
      </c>
      <c r="F136" s="17">
        <v>7462</v>
      </c>
      <c r="G136" s="17">
        <v>6916</v>
      </c>
    </row>
    <row r="137" spans="1:7" x14ac:dyDescent="0.2">
      <c r="A137" t="s">
        <v>8</v>
      </c>
      <c r="B137" s="17">
        <v>2346</v>
      </c>
      <c r="C137" s="17">
        <v>2815</v>
      </c>
      <c r="D137" s="17">
        <v>3866</v>
      </c>
      <c r="E137" s="17">
        <v>4876</v>
      </c>
      <c r="F137" s="17">
        <v>5626</v>
      </c>
      <c r="G137" s="17">
        <v>6045</v>
      </c>
    </row>
    <row r="138" spans="1:7" x14ac:dyDescent="0.2">
      <c r="A138" t="s">
        <v>9</v>
      </c>
      <c r="B138" s="17">
        <v>1107</v>
      </c>
      <c r="C138" s="17">
        <v>1216</v>
      </c>
      <c r="D138" s="17">
        <v>1357</v>
      </c>
      <c r="E138" s="17">
        <v>1727</v>
      </c>
      <c r="F138" s="17">
        <v>2395</v>
      </c>
      <c r="G138" s="17">
        <v>3054</v>
      </c>
    </row>
    <row r="139" spans="1:7" x14ac:dyDescent="0.2">
      <c r="A139" t="s">
        <v>10</v>
      </c>
      <c r="B139" s="17">
        <v>44511</v>
      </c>
      <c r="C139" s="17">
        <v>45493</v>
      </c>
      <c r="D139" s="17">
        <v>46650</v>
      </c>
      <c r="E139" s="17">
        <v>47840</v>
      </c>
      <c r="F139" s="17">
        <v>48724</v>
      </c>
      <c r="G139" s="17">
        <v>49249</v>
      </c>
    </row>
    <row r="142" spans="1:7" x14ac:dyDescent="0.2">
      <c r="A142" t="s">
        <v>66</v>
      </c>
    </row>
    <row r="143" spans="1:7" x14ac:dyDescent="0.2">
      <c r="B143">
        <v>2015</v>
      </c>
      <c r="C143">
        <v>2020</v>
      </c>
      <c r="D143">
        <v>2025</v>
      </c>
      <c r="E143">
        <v>2030</v>
      </c>
      <c r="F143">
        <v>2035</v>
      </c>
      <c r="G143">
        <v>2040</v>
      </c>
    </row>
    <row r="144" spans="1:7" x14ac:dyDescent="0.2">
      <c r="A144" t="s">
        <v>1</v>
      </c>
      <c r="B144" s="17">
        <f t="shared" ref="B144:G150" si="13">+B4+B18+B32+B46+B60+B74+B88+B102+B116+B130</f>
        <v>217453</v>
      </c>
      <c r="C144" s="17">
        <f t="shared" si="13"/>
        <v>209559</v>
      </c>
      <c r="D144" s="17">
        <f t="shared" si="13"/>
        <v>206797</v>
      </c>
      <c r="E144" s="17">
        <f t="shared" si="13"/>
        <v>207573</v>
      </c>
      <c r="F144" s="17">
        <f t="shared" si="13"/>
        <v>204411</v>
      </c>
      <c r="G144" s="17">
        <f t="shared" si="13"/>
        <v>198688</v>
      </c>
    </row>
    <row r="145" spans="1:7" x14ac:dyDescent="0.2">
      <c r="A145" t="s">
        <v>2</v>
      </c>
      <c r="B145" s="17">
        <f t="shared" si="13"/>
        <v>171316</v>
      </c>
      <c r="C145" s="17">
        <f t="shared" si="13"/>
        <v>164676</v>
      </c>
      <c r="D145" s="17">
        <f t="shared" si="13"/>
        <v>160495</v>
      </c>
      <c r="E145" s="17">
        <f t="shared" si="13"/>
        <v>153226</v>
      </c>
      <c r="F145" s="17">
        <f t="shared" si="13"/>
        <v>151428</v>
      </c>
      <c r="G145" s="17">
        <f t="shared" si="13"/>
        <v>153356</v>
      </c>
    </row>
    <row r="146" spans="1:7" x14ac:dyDescent="0.2">
      <c r="A146" t="s">
        <v>3</v>
      </c>
      <c r="B146" s="17">
        <f t="shared" si="13"/>
        <v>158426</v>
      </c>
      <c r="C146" s="17">
        <f t="shared" si="13"/>
        <v>166048</v>
      </c>
      <c r="D146" s="17">
        <f t="shared" si="13"/>
        <v>160633</v>
      </c>
      <c r="E146" s="17">
        <f t="shared" si="13"/>
        <v>152794</v>
      </c>
      <c r="F146" s="17">
        <f t="shared" si="13"/>
        <v>147870</v>
      </c>
      <c r="G146" s="17">
        <f t="shared" si="13"/>
        <v>139896</v>
      </c>
    </row>
    <row r="147" spans="1:7" x14ac:dyDescent="0.2">
      <c r="A147" t="s">
        <v>4</v>
      </c>
      <c r="B147" s="17">
        <f t="shared" si="13"/>
        <v>157155</v>
      </c>
      <c r="C147" s="17">
        <f t="shared" si="13"/>
        <v>159210</v>
      </c>
      <c r="D147" s="17">
        <f t="shared" si="13"/>
        <v>177249</v>
      </c>
      <c r="E147" s="17">
        <f t="shared" si="13"/>
        <v>186800</v>
      </c>
      <c r="F147" s="17">
        <f t="shared" si="13"/>
        <v>180821</v>
      </c>
      <c r="G147" s="17">
        <f t="shared" si="13"/>
        <v>172358</v>
      </c>
    </row>
    <row r="148" spans="1:7" x14ac:dyDescent="0.2">
      <c r="A148" t="s">
        <v>5</v>
      </c>
      <c r="B148" s="17">
        <f t="shared" si="13"/>
        <v>207413</v>
      </c>
      <c r="C148" s="17">
        <f t="shared" si="13"/>
        <v>178468</v>
      </c>
      <c r="D148" s="17">
        <f t="shared" si="13"/>
        <v>159044</v>
      </c>
      <c r="E148" s="17">
        <f t="shared" si="13"/>
        <v>162313</v>
      </c>
      <c r="F148" s="17">
        <f t="shared" si="13"/>
        <v>181248</v>
      </c>
      <c r="G148" s="17">
        <f t="shared" si="13"/>
        <v>191091</v>
      </c>
    </row>
    <row r="149" spans="1:7" x14ac:dyDescent="0.2">
      <c r="A149" t="s">
        <v>6</v>
      </c>
      <c r="B149" s="17">
        <f t="shared" si="13"/>
        <v>201759</v>
      </c>
      <c r="C149" s="17">
        <f t="shared" si="13"/>
        <v>216151</v>
      </c>
      <c r="D149" s="17">
        <f t="shared" si="13"/>
        <v>201565</v>
      </c>
      <c r="E149" s="17">
        <f t="shared" si="13"/>
        <v>174671</v>
      </c>
      <c r="F149" s="17">
        <f t="shared" si="13"/>
        <v>156562</v>
      </c>
      <c r="G149" s="17">
        <f t="shared" si="13"/>
        <v>160710</v>
      </c>
    </row>
    <row r="150" spans="1:7" x14ac:dyDescent="0.2">
      <c r="A150" t="s">
        <v>7</v>
      </c>
      <c r="B150" s="17">
        <f t="shared" si="13"/>
        <v>128819</v>
      </c>
      <c r="C150" s="17">
        <f t="shared" si="13"/>
        <v>159639</v>
      </c>
      <c r="D150" s="17">
        <f t="shared" si="13"/>
        <v>184617</v>
      </c>
      <c r="E150" s="17">
        <f t="shared" si="13"/>
        <v>199245</v>
      </c>
      <c r="F150" s="17">
        <f t="shared" si="13"/>
        <v>186864</v>
      </c>
      <c r="G150" s="17">
        <f t="shared" si="13"/>
        <v>163259</v>
      </c>
    </row>
    <row r="151" spans="1:7" x14ac:dyDescent="0.2">
      <c r="A151" t="s">
        <v>8</v>
      </c>
      <c r="B151" s="17">
        <f t="shared" ref="B151:G151" si="14">+B11+B25+B39+B53+B67+B81+B95+B109+B123+B137</f>
        <v>60140</v>
      </c>
      <c r="C151" s="17">
        <f t="shared" si="14"/>
        <v>74651</v>
      </c>
      <c r="D151" s="17">
        <f t="shared" si="14"/>
        <v>102676</v>
      </c>
      <c r="E151" s="17">
        <f t="shared" si="14"/>
        <v>129194</v>
      </c>
      <c r="F151" s="17">
        <f t="shared" si="14"/>
        <v>151841</v>
      </c>
      <c r="G151" s="17">
        <f t="shared" si="14"/>
        <v>165750</v>
      </c>
    </row>
    <row r="152" spans="1:7" x14ac:dyDescent="0.2">
      <c r="A152" t="s">
        <v>9</v>
      </c>
      <c r="B152" s="17">
        <f t="shared" ref="B152:G152" si="15">+B12+B26+B40+B54+B68+B82+B96+B110+B124+B138</f>
        <v>28354</v>
      </c>
      <c r="C152" s="17">
        <f t="shared" si="15"/>
        <v>31435</v>
      </c>
      <c r="D152" s="17">
        <f t="shared" si="15"/>
        <v>35808</v>
      </c>
      <c r="E152" s="17">
        <f t="shared" si="15"/>
        <v>46225</v>
      </c>
      <c r="F152" s="17">
        <f t="shared" si="15"/>
        <v>64312</v>
      </c>
      <c r="G152" s="17">
        <f t="shared" si="15"/>
        <v>81990</v>
      </c>
    </row>
    <row r="153" spans="1:7" x14ac:dyDescent="0.2">
      <c r="A153" t="s">
        <v>10</v>
      </c>
      <c r="B153" s="17">
        <f t="shared" ref="B153:G153" si="16">SUM(B144:B152)</f>
        <v>1330835</v>
      </c>
      <c r="C153" s="17">
        <f t="shared" si="16"/>
        <v>1359837</v>
      </c>
      <c r="D153" s="17">
        <f t="shared" si="16"/>
        <v>1388884</v>
      </c>
      <c r="E153" s="17">
        <f t="shared" si="16"/>
        <v>1412041</v>
      </c>
      <c r="F153" s="17">
        <f t="shared" si="16"/>
        <v>1425357</v>
      </c>
      <c r="G153" s="17">
        <f t="shared" si="16"/>
        <v>1427098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B6" sqref="B6"/>
    </sheetView>
  </sheetViews>
  <sheetFormatPr defaultRowHeight="12.75" x14ac:dyDescent="0.2"/>
  <cols>
    <col min="1" max="1" width="24.28515625" customWidth="1"/>
    <col min="2" max="2" width="10" customWidth="1"/>
    <col min="3" max="3" width="12.140625" customWidth="1"/>
    <col min="5" max="5" width="11" customWidth="1"/>
    <col min="6" max="6" width="10.85546875" customWidth="1"/>
  </cols>
  <sheetData>
    <row r="1" spans="1:8" x14ac:dyDescent="0.2">
      <c r="A1" t="s">
        <v>29</v>
      </c>
    </row>
    <row r="3" spans="1:8" x14ac:dyDescent="0.2">
      <c r="A3" s="3" t="s">
        <v>65</v>
      </c>
    </row>
    <row r="4" spans="1: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8" x14ac:dyDescent="0.2">
      <c r="A5" s="4" t="s">
        <v>1</v>
      </c>
      <c r="B5" s="7">
        <f>+DataSets!L16</f>
        <v>232182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8" x14ac:dyDescent="0.2">
      <c r="A6" s="10" t="s">
        <v>2</v>
      </c>
      <c r="B6" s="7">
        <f>+DataSets!L17</f>
        <v>178166</v>
      </c>
      <c r="C6" s="7">
        <f>+E6+F6</f>
        <v>17539</v>
      </c>
      <c r="D6" s="11">
        <f t="shared" ref="D6:D14" si="0">+C6/B6</f>
        <v>9.8441902495425615E-2</v>
      </c>
      <c r="E6" s="7">
        <f>+DataSets!L41</f>
        <v>2443</v>
      </c>
      <c r="F6" s="7">
        <f>+DataSets!L65</f>
        <v>15096</v>
      </c>
      <c r="G6" s="12">
        <f t="shared" ref="G6:G14" si="1">+E6/$C6</f>
        <v>0.13928958321455043</v>
      </c>
      <c r="H6" s="12">
        <f t="shared" ref="H6:H14" si="2">+F6/$C6</f>
        <v>0.86071041678544957</v>
      </c>
    </row>
    <row r="7" spans="1:8" x14ac:dyDescent="0.2">
      <c r="A7" s="4" t="s">
        <v>3</v>
      </c>
      <c r="B7" s="7">
        <f>+DataSets!L18</f>
        <v>144472</v>
      </c>
      <c r="C7" s="7">
        <f t="shared" ref="C7:C13" si="3">+E7+F7</f>
        <v>63655</v>
      </c>
      <c r="D7" s="11">
        <f t="shared" si="0"/>
        <v>0.44060440777451687</v>
      </c>
      <c r="E7" s="7">
        <f>+DataSets!L42</f>
        <v>29079</v>
      </c>
      <c r="F7" s="7">
        <f>+DataSets!L66</f>
        <v>34576</v>
      </c>
      <c r="G7" s="12">
        <f t="shared" si="1"/>
        <v>0.45682193072028904</v>
      </c>
      <c r="H7" s="12">
        <f t="shared" si="2"/>
        <v>0.54317806927971091</v>
      </c>
    </row>
    <row r="8" spans="1:8" x14ac:dyDescent="0.2">
      <c r="A8" s="4" t="s">
        <v>4</v>
      </c>
      <c r="B8" s="7">
        <f>+DataSets!L19</f>
        <v>179178</v>
      </c>
      <c r="C8" s="7">
        <f t="shared" si="3"/>
        <v>94079</v>
      </c>
      <c r="D8" s="11">
        <f t="shared" si="0"/>
        <v>0.52505887999642809</v>
      </c>
      <c r="E8" s="7">
        <f>+DataSets!L43</f>
        <v>65967</v>
      </c>
      <c r="F8" s="7">
        <f>+DataSets!L67</f>
        <v>28112</v>
      </c>
      <c r="G8" s="12">
        <f t="shared" si="1"/>
        <v>0.7011873000350769</v>
      </c>
      <c r="H8" s="12">
        <f t="shared" si="2"/>
        <v>0.2988126999649231</v>
      </c>
    </row>
    <row r="9" spans="1:8" x14ac:dyDescent="0.2">
      <c r="A9" s="4" t="s">
        <v>5</v>
      </c>
      <c r="B9" s="7">
        <f>+DataSets!L20</f>
        <v>225961</v>
      </c>
      <c r="C9" s="7">
        <f t="shared" si="3"/>
        <v>127004</v>
      </c>
      <c r="D9" s="11">
        <f t="shared" si="0"/>
        <v>0.5620615946999703</v>
      </c>
      <c r="E9" s="7">
        <f>+DataSets!L44</f>
        <v>98778</v>
      </c>
      <c r="F9" s="7">
        <f>+DataSets!L68</f>
        <v>28226</v>
      </c>
      <c r="G9" s="12">
        <f t="shared" si="1"/>
        <v>0.77775503133759571</v>
      </c>
      <c r="H9" s="12">
        <f t="shared" si="2"/>
        <v>0.22224496866240434</v>
      </c>
    </row>
    <row r="10" spans="1:8" x14ac:dyDescent="0.2">
      <c r="A10" s="4" t="s">
        <v>6</v>
      </c>
      <c r="B10" s="7">
        <f>+DataSets!L21</f>
        <v>178243</v>
      </c>
      <c r="C10" s="7">
        <f t="shared" si="3"/>
        <v>104486</v>
      </c>
      <c r="D10" s="11">
        <f t="shared" si="0"/>
        <v>0.58619973855915797</v>
      </c>
      <c r="E10" s="7">
        <f>+DataSets!L45</f>
        <v>85898</v>
      </c>
      <c r="F10" s="7">
        <f>+DataSets!L69</f>
        <v>18588</v>
      </c>
      <c r="G10" s="12">
        <f t="shared" si="1"/>
        <v>0.82210056849721491</v>
      </c>
      <c r="H10" s="12">
        <f t="shared" si="2"/>
        <v>0.17789943150278506</v>
      </c>
    </row>
    <row r="11" spans="1:8" x14ac:dyDescent="0.2">
      <c r="A11" s="4" t="s">
        <v>7</v>
      </c>
      <c r="B11" s="7">
        <f>+DataSets!L22</f>
        <v>96762</v>
      </c>
      <c r="C11" s="7">
        <f t="shared" si="3"/>
        <v>60086</v>
      </c>
      <c r="D11" s="11">
        <f t="shared" si="0"/>
        <v>0.62096690849713732</v>
      </c>
      <c r="E11" s="7">
        <f>+DataSets!L46</f>
        <v>49153</v>
      </c>
      <c r="F11" s="7">
        <f>+DataSets!L70</f>
        <v>10933</v>
      </c>
      <c r="G11" s="12">
        <f t="shared" si="1"/>
        <v>0.81804413673734311</v>
      </c>
      <c r="H11" s="12">
        <f t="shared" si="2"/>
        <v>0.18195586326265686</v>
      </c>
    </row>
    <row r="12" spans="1:8" x14ac:dyDescent="0.2">
      <c r="A12" s="4" t="s">
        <v>8</v>
      </c>
      <c r="B12" s="7">
        <f>+DataSets!L23</f>
        <v>56745</v>
      </c>
      <c r="C12" s="7">
        <f t="shared" si="3"/>
        <v>37059</v>
      </c>
      <c r="D12" s="11">
        <f t="shared" si="0"/>
        <v>0.65307956648162835</v>
      </c>
      <c r="E12" s="7">
        <f>+DataSets!L47</f>
        <v>27922</v>
      </c>
      <c r="F12" s="7">
        <f>+DataSets!L71</f>
        <v>9137</v>
      </c>
      <c r="G12" s="12">
        <f t="shared" si="1"/>
        <v>0.75344720580695645</v>
      </c>
      <c r="H12" s="12">
        <f t="shared" si="2"/>
        <v>0.24655279419304352</v>
      </c>
    </row>
    <row r="13" spans="1:8" x14ac:dyDescent="0.2">
      <c r="A13" s="4" t="s">
        <v>9</v>
      </c>
      <c r="B13" s="7">
        <f>+DataSets!L24</f>
        <v>24761</v>
      </c>
      <c r="C13" s="7">
        <f t="shared" si="3"/>
        <v>15065</v>
      </c>
      <c r="D13" s="11">
        <f t="shared" si="0"/>
        <v>0.60841646137070393</v>
      </c>
      <c r="E13" s="7">
        <f>+DataSets!L48</f>
        <v>9076</v>
      </c>
      <c r="F13" s="7">
        <f>+DataSets!L72</f>
        <v>5989</v>
      </c>
      <c r="G13" s="12">
        <f t="shared" si="1"/>
        <v>0.6024560238964487</v>
      </c>
      <c r="H13" s="12">
        <f t="shared" si="2"/>
        <v>0.3975439761035513</v>
      </c>
    </row>
    <row r="14" spans="1:8" x14ac:dyDescent="0.2">
      <c r="A14" s="4" t="s">
        <v>10</v>
      </c>
      <c r="B14" s="7">
        <f>SUM(B5:B13)</f>
        <v>1316470</v>
      </c>
      <c r="C14" s="7">
        <f>SUM(C5:C13)</f>
        <v>518973</v>
      </c>
      <c r="D14" s="13">
        <f t="shared" si="0"/>
        <v>0.39421559169597487</v>
      </c>
      <c r="E14" s="7">
        <f>SUM(E5:E13)</f>
        <v>368316</v>
      </c>
      <c r="F14" s="7">
        <f>SUM(F5:F13)</f>
        <v>150657</v>
      </c>
      <c r="G14" s="14">
        <f t="shared" si="1"/>
        <v>0.7097016607800406</v>
      </c>
      <c r="H14" s="14">
        <f t="shared" si="2"/>
        <v>0.2902983392199594</v>
      </c>
    </row>
    <row r="16" spans="1:8" x14ac:dyDescent="0.2">
      <c r="A16" s="3" t="s">
        <v>19</v>
      </c>
    </row>
    <row r="17" spans="1:8" x14ac:dyDescent="0.2">
      <c r="A17" s="4" t="s">
        <v>10</v>
      </c>
      <c r="B17" s="7">
        <f>+DataSets!L81</f>
        <v>40104</v>
      </c>
    </row>
    <row r="18" spans="1:8" x14ac:dyDescent="0.2">
      <c r="A18" s="4" t="s">
        <v>20</v>
      </c>
      <c r="B18" s="7">
        <f>+DataSets!L82</f>
        <v>32275</v>
      </c>
    </row>
    <row r="19" spans="1:8" x14ac:dyDescent="0.2">
      <c r="A19" s="4" t="s">
        <v>21</v>
      </c>
      <c r="B19" s="7">
        <f>+DataSets!L83</f>
        <v>7829</v>
      </c>
    </row>
    <row r="21" spans="1:8" ht="25.5" x14ac:dyDescent="0.2">
      <c r="A21" s="40" t="s">
        <v>22</v>
      </c>
      <c r="B21" s="41"/>
      <c r="C21" s="5" t="s">
        <v>23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</row>
    <row r="22" spans="1:8" x14ac:dyDescent="0.2">
      <c r="A22" s="4" t="s">
        <v>10</v>
      </c>
      <c r="B22" s="7">
        <f>+B14-B17</f>
        <v>1276366</v>
      </c>
      <c r="C22" s="7">
        <f>+C14-C17</f>
        <v>518973</v>
      </c>
      <c r="D22" s="8" t="s">
        <v>18</v>
      </c>
      <c r="E22" s="7">
        <f>+E14-E17</f>
        <v>368316</v>
      </c>
      <c r="F22" s="7">
        <f>+F14-F17</f>
        <v>150657</v>
      </c>
      <c r="G22" s="14">
        <f t="shared" ref="G22:H24" si="4">+E22/$C22</f>
        <v>0.7097016607800406</v>
      </c>
      <c r="H22" s="14">
        <f t="shared" si="4"/>
        <v>0.2902983392199594</v>
      </c>
    </row>
    <row r="23" spans="1:8" x14ac:dyDescent="0.2">
      <c r="A23" s="4" t="s">
        <v>20</v>
      </c>
      <c r="B23" s="7">
        <f>SUM(B5:B10)-B18</f>
        <v>1105927</v>
      </c>
      <c r="C23" s="7">
        <f>SUM(C5:C10)-C18</f>
        <v>406763</v>
      </c>
      <c r="D23" s="8" t="s">
        <v>18</v>
      </c>
      <c r="E23" s="7">
        <f>SUM(E5:E10)-E18</f>
        <v>282165</v>
      </c>
      <c r="F23" s="7">
        <f>SUM(F5:F10)-F18</f>
        <v>124598</v>
      </c>
      <c r="G23" s="14">
        <f t="shared" si="4"/>
        <v>0.69368403714202131</v>
      </c>
      <c r="H23" s="14">
        <f t="shared" si="4"/>
        <v>0.30631596285797874</v>
      </c>
    </row>
    <row r="24" spans="1:8" x14ac:dyDescent="0.2">
      <c r="A24" s="4" t="s">
        <v>21</v>
      </c>
      <c r="B24" s="7">
        <f>+SUM(B11:B13)-B19</f>
        <v>170439</v>
      </c>
      <c r="C24" s="7">
        <f>+SUM(C11:C13)-C19</f>
        <v>112210</v>
      </c>
      <c r="D24" s="8" t="s">
        <v>18</v>
      </c>
      <c r="E24" s="7">
        <f>+SUM(E11:E13)-E19</f>
        <v>86151</v>
      </c>
      <c r="F24" s="7">
        <f>+SUM(F11:F13)-F19</f>
        <v>26059</v>
      </c>
      <c r="G24" s="14">
        <f t="shared" si="4"/>
        <v>0.76776579627484176</v>
      </c>
      <c r="H24" s="14">
        <f t="shared" si="4"/>
        <v>0.23223420372515818</v>
      </c>
    </row>
    <row r="26" spans="1:8" x14ac:dyDescent="0.2">
      <c r="A26" s="3" t="s">
        <v>26</v>
      </c>
    </row>
    <row r="27" spans="1:8" x14ac:dyDescent="0.2">
      <c r="A27" s="4" t="s">
        <v>10</v>
      </c>
      <c r="B27" s="16">
        <f>+B22/C22</f>
        <v>2.4594073294757144</v>
      </c>
      <c r="D27" s="1"/>
      <c r="E27" t="s">
        <v>27</v>
      </c>
    </row>
    <row r="28" spans="1:8" x14ac:dyDescent="0.2">
      <c r="A28" s="4" t="s">
        <v>20</v>
      </c>
      <c r="B28" s="16">
        <f>+B23/C23</f>
        <v>2.7188485678392578</v>
      </c>
      <c r="D28" s="2"/>
      <c r="E28" t="s">
        <v>28</v>
      </c>
    </row>
    <row r="29" spans="1:8" x14ac:dyDescent="0.2">
      <c r="A29" s="4" t="s">
        <v>21</v>
      </c>
      <c r="B29" s="16">
        <f>+B24/C24</f>
        <v>1.5189287942251137</v>
      </c>
    </row>
    <row r="30" spans="1:8" x14ac:dyDescent="0.2">
      <c r="A30" t="s">
        <v>31</v>
      </c>
    </row>
    <row r="31" spans="1:8" x14ac:dyDescent="0.2">
      <c r="A31" s="3" t="s">
        <v>67</v>
      </c>
      <c r="D31" t="s">
        <v>68</v>
      </c>
    </row>
    <row r="32" spans="1:8" ht="51" x14ac:dyDescent="0.2">
      <c r="A32" s="4" t="s">
        <v>0</v>
      </c>
      <c r="B32" s="5" t="s">
        <v>11</v>
      </c>
      <c r="C32" s="5" t="s">
        <v>12</v>
      </c>
      <c r="D32" s="6" t="s">
        <v>13</v>
      </c>
      <c r="E32" s="5" t="s">
        <v>14</v>
      </c>
      <c r="F32" s="5" t="s">
        <v>15</v>
      </c>
      <c r="G32" s="6" t="s">
        <v>16</v>
      </c>
      <c r="H32" s="6" t="s">
        <v>17</v>
      </c>
    </row>
    <row r="33" spans="1:9" x14ac:dyDescent="0.2">
      <c r="A33" s="4" t="s">
        <v>1</v>
      </c>
      <c r="B33" s="7">
        <f>+forecasts!D144</f>
        <v>206797</v>
      </c>
      <c r="C33" s="8" t="s">
        <v>18</v>
      </c>
      <c r="D33" s="9" t="s">
        <v>18</v>
      </c>
      <c r="E33" s="8" t="s">
        <v>18</v>
      </c>
      <c r="F33" s="8" t="s">
        <v>18</v>
      </c>
      <c r="G33" s="9" t="s">
        <v>18</v>
      </c>
      <c r="H33" s="9" t="s">
        <v>18</v>
      </c>
    </row>
    <row r="34" spans="1:9" x14ac:dyDescent="0.2">
      <c r="A34" s="10" t="s">
        <v>2</v>
      </c>
      <c r="B34" s="7">
        <f>+forecasts!D145</f>
        <v>160495</v>
      </c>
      <c r="C34" s="7">
        <f t="shared" ref="C34:C41" si="5">+B34*D34</f>
        <v>12354.415833642523</v>
      </c>
      <c r="D34" s="11">
        <f>+D6+DataSets!L109</f>
        <v>7.6976951516511558E-2</v>
      </c>
      <c r="E34" s="7">
        <f t="shared" ref="E34:F41" si="6">+G34*$C34</f>
        <v>1726.3809238033934</v>
      </c>
      <c r="F34" s="7">
        <f t="shared" si="6"/>
        <v>10628.034909839129</v>
      </c>
      <c r="G34" s="12">
        <f>+G6+DataSets!L142</f>
        <v>0.13973796471236266</v>
      </c>
      <c r="H34" s="12">
        <f>+H6-DataSets!L142</f>
        <v>0.86026203528763734</v>
      </c>
      <c r="I34" t="s">
        <v>68</v>
      </c>
    </row>
    <row r="35" spans="1:9" x14ac:dyDescent="0.2">
      <c r="A35" s="4" t="s">
        <v>3</v>
      </c>
      <c r="B35" s="7">
        <f>+forecasts!D146</f>
        <v>160633</v>
      </c>
      <c r="C35" s="7">
        <f t="shared" si="5"/>
        <v>65254.529873297201</v>
      </c>
      <c r="D35" s="11">
        <f>+D7+DataSets!L110</f>
        <v>0.40623364983096377</v>
      </c>
      <c r="E35" s="7">
        <f t="shared" si="6"/>
        <v>27759.911799721041</v>
      </c>
      <c r="F35" s="7">
        <f t="shared" si="6"/>
        <v>37494.618073576159</v>
      </c>
      <c r="G35" s="12">
        <f>+G7+DataSets!L143</f>
        <v>0.42540972793186382</v>
      </c>
      <c r="H35" s="12">
        <f>+H7-DataSets!L143</f>
        <v>0.57459027206813618</v>
      </c>
      <c r="I35" t="s">
        <v>68</v>
      </c>
    </row>
    <row r="36" spans="1:9" x14ac:dyDescent="0.2">
      <c r="A36" s="4" t="s">
        <v>4</v>
      </c>
      <c r="B36" s="7">
        <f>+forecasts!D147</f>
        <v>177249</v>
      </c>
      <c r="C36" s="7">
        <f t="shared" si="5"/>
        <v>90465.673326327247</v>
      </c>
      <c r="D36" s="11">
        <f>+D8+DataSets!L111</f>
        <v>0.51038749626980828</v>
      </c>
      <c r="E36" s="7">
        <f t="shared" si="6"/>
        <v>61443.84141993901</v>
      </c>
      <c r="F36" s="7">
        <f t="shared" si="6"/>
        <v>29021.831906388241</v>
      </c>
      <c r="G36" s="12">
        <f>+G8+DataSets!L144</f>
        <v>0.67919509312995596</v>
      </c>
      <c r="H36" s="12">
        <f>+H8-DataSets!L144</f>
        <v>0.32080490687004404</v>
      </c>
      <c r="I36" t="s">
        <v>68</v>
      </c>
    </row>
    <row r="37" spans="1:9" x14ac:dyDescent="0.2">
      <c r="A37" s="4" t="s">
        <v>5</v>
      </c>
      <c r="B37" s="7">
        <f>+forecasts!D148</f>
        <v>159044</v>
      </c>
      <c r="C37" s="7">
        <f t="shared" si="5"/>
        <v>88437.724803770689</v>
      </c>
      <c r="D37" s="11">
        <f>+D9+DataSets!L112</f>
        <v>0.55605822793548132</v>
      </c>
      <c r="E37" s="7">
        <f t="shared" si="6"/>
        <v>67521.96910137411</v>
      </c>
      <c r="F37" s="7">
        <f t="shared" si="6"/>
        <v>20915.755702396586</v>
      </c>
      <c r="G37" s="12">
        <f>+G9+DataSets!L145</f>
        <v>0.76349735648666528</v>
      </c>
      <c r="H37" s="12">
        <f>+H9-DataSets!L145</f>
        <v>0.23650264351333478</v>
      </c>
      <c r="I37" t="s">
        <v>68</v>
      </c>
    </row>
    <row r="38" spans="1:9" x14ac:dyDescent="0.2">
      <c r="A38" s="4" t="s">
        <v>6</v>
      </c>
      <c r="B38" s="7">
        <f>+forecasts!D149</f>
        <v>201565</v>
      </c>
      <c r="C38" s="7">
        <f t="shared" si="5"/>
        <v>117481.0686189227</v>
      </c>
      <c r="D38" s="11">
        <f>+D10+DataSets!L113</f>
        <v>0.58284458422306795</v>
      </c>
      <c r="E38" s="7">
        <f t="shared" si="6"/>
        <v>97396.809518627182</v>
      </c>
      <c r="F38" s="7">
        <f t="shared" si="6"/>
        <v>20084.25910029552</v>
      </c>
      <c r="G38" s="12">
        <f>+G10+DataSets!L146</f>
        <v>0.82904259097741517</v>
      </c>
      <c r="H38" s="12">
        <f>+H10-DataSets!L146</f>
        <v>0.1709574090225848</v>
      </c>
      <c r="I38" t="s">
        <v>68</v>
      </c>
    </row>
    <row r="39" spans="1:9" x14ac:dyDescent="0.2">
      <c r="A39" s="4" t="s">
        <v>7</v>
      </c>
      <c r="B39" s="7">
        <f>+forecasts!D150</f>
        <v>184617</v>
      </c>
      <c r="C39" s="7">
        <f t="shared" si="5"/>
        <v>113812.50224832294</v>
      </c>
      <c r="D39" s="11">
        <f>+D11+DataSets!L114</f>
        <v>0.6164789929872273</v>
      </c>
      <c r="E39" s="7">
        <f t="shared" si="6"/>
        <v>94643.876112372905</v>
      </c>
      <c r="F39" s="7">
        <f t="shared" si="6"/>
        <v>19168.626135950035</v>
      </c>
      <c r="G39" s="12">
        <f>+G11+DataSets!L147</f>
        <v>0.83157714875535571</v>
      </c>
      <c r="H39" s="12">
        <f>+H11-DataSets!L147</f>
        <v>0.16842285124464426</v>
      </c>
      <c r="I39" t="s">
        <v>68</v>
      </c>
    </row>
    <row r="40" spans="1:9" x14ac:dyDescent="0.2">
      <c r="A40" s="4" t="s">
        <v>8</v>
      </c>
      <c r="B40" s="7">
        <f>+forecasts!D151</f>
        <v>102676</v>
      </c>
      <c r="C40" s="7">
        <f t="shared" si="5"/>
        <v>68080.373771473402</v>
      </c>
      <c r="D40" s="11">
        <f>+D12+DataSets!L115</f>
        <v>0.66306024554397713</v>
      </c>
      <c r="E40" s="7">
        <f t="shared" si="6"/>
        <v>53191.871480154317</v>
      </c>
      <c r="F40" s="7">
        <f t="shared" si="6"/>
        <v>14888.502291319079</v>
      </c>
      <c r="G40" s="12">
        <f>+G12+DataSets!L148</f>
        <v>0.78130992139826405</v>
      </c>
      <c r="H40" s="12">
        <f>+H12-DataSets!L148</f>
        <v>0.21869007860173592</v>
      </c>
      <c r="I40" t="s">
        <v>68</v>
      </c>
    </row>
    <row r="41" spans="1:9" x14ac:dyDescent="0.2">
      <c r="A41" s="4" t="s">
        <v>9</v>
      </c>
      <c r="B41" s="7">
        <f>+forecasts!D152</f>
        <v>35808</v>
      </c>
      <c r="C41" s="7">
        <f t="shared" si="5"/>
        <v>25217.586142678192</v>
      </c>
      <c r="D41" s="11">
        <f>+D13+DataSets!L116</f>
        <v>0.70424447449391736</v>
      </c>
      <c r="E41" s="7">
        <f t="shared" si="6"/>
        <v>14782.182233087135</v>
      </c>
      <c r="F41" s="7">
        <f t="shared" si="6"/>
        <v>10435.403909591058</v>
      </c>
      <c r="G41" s="12">
        <f>+G13+DataSets!L149</f>
        <v>0.58618545603259775</v>
      </c>
      <c r="H41" s="12">
        <f>+H13-DataSets!L149</f>
        <v>0.41381454396740225</v>
      </c>
      <c r="I41" t="s">
        <v>68</v>
      </c>
    </row>
    <row r="42" spans="1:9" x14ac:dyDescent="0.2">
      <c r="A42" s="4" t="s">
        <v>10</v>
      </c>
      <c r="B42" s="7">
        <f>SUM(B33:B41)</f>
        <v>1388884</v>
      </c>
      <c r="C42" s="7">
        <f>SUM(C33:C41)</f>
        <v>581103.87461843481</v>
      </c>
      <c r="D42" s="13">
        <f>+C42/B42</f>
        <v>0.41839626248011702</v>
      </c>
      <c r="E42" s="7">
        <f>SUM(E33:E41)</f>
        <v>418466.84258907911</v>
      </c>
      <c r="F42" s="7">
        <f>SUM(F33:F41)</f>
        <v>162637.03202935579</v>
      </c>
      <c r="G42" s="14">
        <f>+E42/$C42</f>
        <v>0.72012399308790254</v>
      </c>
      <c r="H42" s="14">
        <f>+F42/$C42</f>
        <v>0.27987600691209763</v>
      </c>
    </row>
    <row r="44" spans="1:9" x14ac:dyDescent="0.2">
      <c r="A44" s="3" t="s">
        <v>19</v>
      </c>
    </row>
    <row r="45" spans="1:9" x14ac:dyDescent="0.2">
      <c r="A45" s="4" t="s">
        <v>10</v>
      </c>
      <c r="B45" s="7">
        <f>+B46+B47</f>
        <v>41921.385989441857</v>
      </c>
    </row>
    <row r="46" spans="1:9" x14ac:dyDescent="0.2">
      <c r="A46" s="4" t="s">
        <v>20</v>
      </c>
      <c r="B46" s="7">
        <f>+B18*(SUM(B34:B38)/SUM(B6:B10))</f>
        <v>30599.515628794066</v>
      </c>
      <c r="D46" t="s">
        <v>30</v>
      </c>
    </row>
    <row r="47" spans="1:9" x14ac:dyDescent="0.2">
      <c r="A47" s="4" t="s">
        <v>21</v>
      </c>
      <c r="B47" s="7">
        <f>+B19*(B41/B13)</f>
        <v>11321.870360647792</v>
      </c>
      <c r="D47" t="s">
        <v>32</v>
      </c>
    </row>
    <row r="49" spans="1:8" ht="25.5" x14ac:dyDescent="0.2">
      <c r="A49" s="40" t="s">
        <v>22</v>
      </c>
      <c r="B49" s="41"/>
      <c r="C49" s="5" t="s">
        <v>23</v>
      </c>
      <c r="D49" s="15" t="s">
        <v>18</v>
      </c>
      <c r="E49" s="5" t="s">
        <v>24</v>
      </c>
      <c r="F49" s="5" t="s">
        <v>25</v>
      </c>
      <c r="G49" s="5" t="s">
        <v>16</v>
      </c>
      <c r="H49" s="5" t="s">
        <v>17</v>
      </c>
    </row>
    <row r="50" spans="1:8" x14ac:dyDescent="0.2">
      <c r="A50" s="4" t="s">
        <v>10</v>
      </c>
      <c r="B50" s="7">
        <f>+B42-B45</f>
        <v>1346962.6140105582</v>
      </c>
      <c r="C50" s="7">
        <f>+C42-C45</f>
        <v>581103.87461843481</v>
      </c>
      <c r="D50" s="8" t="s">
        <v>18</v>
      </c>
      <c r="E50" s="7">
        <f>+E42-E45</f>
        <v>418466.84258907911</v>
      </c>
      <c r="F50" s="7">
        <f>+F42-F45</f>
        <v>162637.03202935579</v>
      </c>
      <c r="G50" s="14">
        <f t="shared" ref="G50:H52" si="7">+E50/$C50</f>
        <v>0.72012399308790254</v>
      </c>
      <c r="H50" s="14">
        <f t="shared" si="7"/>
        <v>0.27987600691209763</v>
      </c>
    </row>
    <row r="51" spans="1:8" x14ac:dyDescent="0.2">
      <c r="A51" s="4" t="s">
        <v>20</v>
      </c>
      <c r="B51" s="7">
        <f>SUM(B33:B38)-B46</f>
        <v>1035183.4843712059</v>
      </c>
      <c r="C51" s="7">
        <f>SUM(C33:C38)-C46</f>
        <v>373993.41245596035</v>
      </c>
      <c r="D51" s="8" t="s">
        <v>18</v>
      </c>
      <c r="E51" s="7">
        <f>SUM(E33:E38)-E46</f>
        <v>255848.91276346473</v>
      </c>
      <c r="F51" s="7">
        <f>SUM(F33:F38)-F46</f>
        <v>118144.49969249562</v>
      </c>
      <c r="G51" s="14">
        <f t="shared" si="7"/>
        <v>0.68410005161144982</v>
      </c>
      <c r="H51" s="14">
        <f t="shared" si="7"/>
        <v>0.31589994838855012</v>
      </c>
    </row>
    <row r="52" spans="1:8" x14ac:dyDescent="0.2">
      <c r="A52" s="4" t="s">
        <v>21</v>
      </c>
      <c r="B52" s="7">
        <f>+SUM(B39:B41)-B47</f>
        <v>311779.12963935221</v>
      </c>
      <c r="C52" s="7">
        <f>+SUM(C39:C41)-C47</f>
        <v>207110.46216247455</v>
      </c>
      <c r="D52" s="8" t="s">
        <v>18</v>
      </c>
      <c r="E52" s="7">
        <f>+SUM(E39:E41)-E47</f>
        <v>162617.92982561435</v>
      </c>
      <c r="F52" s="7">
        <f>+SUM(F39:F41)-F47</f>
        <v>44492.532336860168</v>
      </c>
      <c r="G52" s="14">
        <f t="shared" si="7"/>
        <v>0.78517486817273108</v>
      </c>
      <c r="H52" s="14">
        <f t="shared" si="7"/>
        <v>0.21482513182726884</v>
      </c>
    </row>
    <row r="54" spans="1:8" x14ac:dyDescent="0.2">
      <c r="A54" s="3" t="s">
        <v>26</v>
      </c>
    </row>
    <row r="55" spans="1:8" x14ac:dyDescent="0.2">
      <c r="A55" s="4" t="s">
        <v>10</v>
      </c>
      <c r="B55" s="16">
        <f>+B50/C50</f>
        <v>2.3179377609467888</v>
      </c>
      <c r="D55" s="1"/>
      <c r="E55" t="s">
        <v>27</v>
      </c>
    </row>
    <row r="56" spans="1:8" x14ac:dyDescent="0.2">
      <c r="A56" s="4" t="s">
        <v>20</v>
      </c>
      <c r="B56" s="16">
        <f>+B51/C51</f>
        <v>2.767919032512649</v>
      </c>
      <c r="D56" s="2"/>
      <c r="E56" t="s">
        <v>28</v>
      </c>
    </row>
    <row r="57" spans="1:8" x14ac:dyDescent="0.2">
      <c r="A57" s="4" t="s">
        <v>21</v>
      </c>
      <c r="B57" s="16">
        <f>+B52/C52</f>
        <v>1.5053760509440943</v>
      </c>
    </row>
  </sheetData>
  <mergeCells count="2">
    <mergeCell ref="A21:B21"/>
    <mergeCell ref="A49:B49"/>
  </mergeCells>
  <phoneticPr fontId="1" type="noConversion"/>
  <pageMargins left="0.75" right="0.75" top="1" bottom="1" header="0.5" footer="0.5"/>
  <pageSetup scale="80" orientation="portrait" r:id="rId1"/>
  <headerFooter alignWithMargins="0">
    <oddHeader>&amp;F</oddHeader>
    <oddFooter>&amp;L&amp;B NHCPPS Confidential&amp;B&amp;C&amp;D&amp;RPage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19" workbookViewId="0">
      <selection activeCell="E22" sqref="E22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1</v>
      </c>
      <c r="C1" t="s">
        <v>72</v>
      </c>
      <c r="D1" s="21"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VLOOKUP(C3,DataSets!$A$2:$L$2,Model!B1+1)</f>
        <v>Belknap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+VLOOKUP($A5,DataSets!$A$16:$L$25,Model!$B$1+1)</f>
        <v>10031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+VLOOKUP($A6,DataSets!$A$16:$L$25,Model!$B$1+1)</f>
        <v>6457</v>
      </c>
      <c r="C6" s="7">
        <f t="shared" ref="C6:C13" si="0">+E6+F6</f>
        <v>634</v>
      </c>
      <c r="D6" s="11">
        <f t="shared" ref="D6:D14" si="1">+C6/B6</f>
        <v>9.8188013009137376E-2</v>
      </c>
      <c r="E6" s="7">
        <f>+VLOOKUP($A6,DataSets!$A$41:$L$49,Model!$B$1+1)</f>
        <v>141</v>
      </c>
      <c r="F6" s="7">
        <f>+VLOOKUP($A6,DataSets!$A$65:$L$73,Model!$B$1+1)</f>
        <v>493</v>
      </c>
      <c r="G6" s="12">
        <f t="shared" ref="G6:G14" si="2">+E6/$C6</f>
        <v>0.22239747634069401</v>
      </c>
      <c r="H6" s="12">
        <f t="shared" ref="H6:H14" si="3">+F6/$C6</f>
        <v>0.77760252365930604</v>
      </c>
      <c r="M6" s="24"/>
      <c r="N6" s="24"/>
      <c r="O6" s="24"/>
      <c r="P6" s="24"/>
      <c r="Q6" s="24"/>
      <c r="R6" s="24"/>
    </row>
    <row r="7" spans="1:18" x14ac:dyDescent="0.2">
      <c r="A7" s="4" t="s">
        <v>3</v>
      </c>
      <c r="B7" s="7">
        <f>+VLOOKUP($A7,DataSets!$A$16:$L$25,Model!$B$1+1)</f>
        <v>6189</v>
      </c>
      <c r="C7" s="7">
        <f t="shared" si="0"/>
        <v>2713</v>
      </c>
      <c r="D7" s="11">
        <f t="shared" si="1"/>
        <v>0.43835837776700598</v>
      </c>
      <c r="E7" s="7">
        <f>+VLOOKUP($A7,DataSets!$A$41:$L$49,Model!$B$1+1)</f>
        <v>1380</v>
      </c>
      <c r="F7" s="7">
        <f>+VLOOKUP($A7,DataSets!$A$65:$L$73,Model!$B$1+1)</f>
        <v>1333</v>
      </c>
      <c r="G7" s="12">
        <f t="shared" si="2"/>
        <v>0.50866199778842613</v>
      </c>
      <c r="H7" s="12">
        <f t="shared" si="3"/>
        <v>0.49133800221157392</v>
      </c>
      <c r="M7" s="24"/>
      <c r="N7" s="24"/>
      <c r="O7" s="24"/>
      <c r="P7" s="24"/>
      <c r="Q7" s="24"/>
      <c r="R7" s="24"/>
    </row>
    <row r="8" spans="1:18" x14ac:dyDescent="0.2">
      <c r="A8" s="4" t="s">
        <v>4</v>
      </c>
      <c r="B8" s="7">
        <f>+VLOOKUP($A8,DataSets!$A$16:$L$25,Model!$B$1+1)</f>
        <v>7663</v>
      </c>
      <c r="C8" s="7">
        <f t="shared" si="0"/>
        <v>3980</v>
      </c>
      <c r="D8" s="11">
        <f t="shared" si="1"/>
        <v>0.51937883335508284</v>
      </c>
      <c r="E8" s="7">
        <f>+VLOOKUP($A8,DataSets!$A$41:$L$49,Model!$B$1+1)</f>
        <v>2809</v>
      </c>
      <c r="F8" s="7">
        <f>+VLOOKUP($A8,DataSets!$A$65:$L$73,Model!$B$1+1)</f>
        <v>1171</v>
      </c>
      <c r="G8" s="12">
        <f t="shared" si="2"/>
        <v>0.70577889447236186</v>
      </c>
      <c r="H8" s="12">
        <f t="shared" si="3"/>
        <v>0.29422110552763819</v>
      </c>
      <c r="M8" s="17"/>
      <c r="N8" s="17"/>
      <c r="O8" s="17"/>
      <c r="P8" s="17"/>
      <c r="Q8" s="17"/>
      <c r="R8" s="17"/>
    </row>
    <row r="9" spans="1:18" x14ac:dyDescent="0.2">
      <c r="A9" s="4" t="s">
        <v>5</v>
      </c>
      <c r="B9" s="7">
        <f>+VLOOKUP($A9,DataSets!$A$16:$L$25,Model!$B$1+1)</f>
        <v>10149</v>
      </c>
      <c r="C9" s="7">
        <f t="shared" si="0"/>
        <v>5681</v>
      </c>
      <c r="D9" s="11">
        <f t="shared" si="1"/>
        <v>0.55975958222484978</v>
      </c>
      <c r="E9" s="7">
        <f>+VLOOKUP($A9,DataSets!$A$41:$L$49,Model!$B$1+1)</f>
        <v>4462</v>
      </c>
      <c r="F9" s="7">
        <f>+VLOOKUP($A9,DataSets!$A$65:$L$73,Model!$B$1+1)</f>
        <v>1219</v>
      </c>
      <c r="G9" s="12">
        <f t="shared" si="2"/>
        <v>0.78542510121457487</v>
      </c>
      <c r="H9" s="12">
        <f t="shared" si="3"/>
        <v>0.2145748987854251</v>
      </c>
      <c r="M9" s="17"/>
      <c r="N9" s="17"/>
      <c r="O9" s="17"/>
      <c r="P9" s="17"/>
      <c r="Q9" s="17"/>
      <c r="R9" s="17"/>
    </row>
    <row r="10" spans="1:18" x14ac:dyDescent="0.2">
      <c r="A10" s="4" t="s">
        <v>6</v>
      </c>
      <c r="B10" s="7">
        <f>+VLOOKUP($A10,DataSets!$A$16:$L$25,Model!$B$1+1)</f>
        <v>9542</v>
      </c>
      <c r="C10" s="7">
        <f t="shared" si="0"/>
        <v>5566</v>
      </c>
      <c r="D10" s="11">
        <f t="shared" si="1"/>
        <v>0.58331586669461333</v>
      </c>
      <c r="E10" s="7">
        <f>+VLOOKUP($A10,DataSets!$A$41:$L$49,Model!$B$1+1)</f>
        <v>4734</v>
      </c>
      <c r="F10" s="7">
        <f>+VLOOKUP($A10,DataSets!$A$65:$L$73,Model!$B$1+1)</f>
        <v>832</v>
      </c>
      <c r="G10" s="12">
        <f t="shared" si="2"/>
        <v>0.8505210204814948</v>
      </c>
      <c r="H10" s="12">
        <f t="shared" si="3"/>
        <v>0.14947897951850522</v>
      </c>
      <c r="M10" s="17"/>
      <c r="N10" s="17"/>
      <c r="O10" s="17"/>
      <c r="P10" s="17"/>
      <c r="Q10" s="17"/>
      <c r="R10" s="17"/>
    </row>
    <row r="11" spans="1:18" x14ac:dyDescent="0.2">
      <c r="A11" s="4" t="s">
        <v>7</v>
      </c>
      <c r="B11" s="7">
        <f>+VLOOKUP($A11,DataSets!$A$16:$L$25,Model!$B$1+1)</f>
        <v>5457</v>
      </c>
      <c r="C11" s="7">
        <f t="shared" si="0"/>
        <v>3385</v>
      </c>
      <c r="D11" s="11">
        <f t="shared" si="1"/>
        <v>0.62030419644493306</v>
      </c>
      <c r="E11" s="7">
        <f>+VLOOKUP($A11,DataSets!$A$41:$L$49,Model!$B$1+1)</f>
        <v>2901</v>
      </c>
      <c r="F11" s="7">
        <f>+VLOOKUP($A11,DataSets!$A$65:$L$73,Model!$B$1+1)</f>
        <v>484</v>
      </c>
      <c r="G11" s="12">
        <f t="shared" si="2"/>
        <v>0.85701624815361888</v>
      </c>
      <c r="H11" s="12">
        <f t="shared" si="3"/>
        <v>0.1429837518463811</v>
      </c>
      <c r="M11" s="17"/>
      <c r="N11" s="17"/>
      <c r="O11" s="17"/>
      <c r="P11" s="17"/>
      <c r="Q11" s="17"/>
      <c r="R11" s="17"/>
    </row>
    <row r="12" spans="1:18" x14ac:dyDescent="0.2">
      <c r="A12" s="4" t="s">
        <v>8</v>
      </c>
      <c r="B12" s="7">
        <f>+VLOOKUP($A12,DataSets!$A$16:$L$25,Model!$B$1+1)</f>
        <v>3156</v>
      </c>
      <c r="C12" s="7">
        <f t="shared" si="0"/>
        <v>2033</v>
      </c>
      <c r="D12" s="11">
        <f t="shared" si="1"/>
        <v>0.64416983523447402</v>
      </c>
      <c r="E12" s="7">
        <f>+VLOOKUP($A12,DataSets!$A$41:$L$49,Model!$B$1+1)</f>
        <v>1607</v>
      </c>
      <c r="F12" s="7">
        <f>+VLOOKUP($A12,DataSets!$A$65:$L$73,Model!$B$1+1)</f>
        <v>426</v>
      </c>
      <c r="G12" s="12">
        <f t="shared" si="2"/>
        <v>0.79045745204131823</v>
      </c>
      <c r="H12" s="12">
        <f t="shared" si="3"/>
        <v>0.20954254795868174</v>
      </c>
      <c r="M12" s="17"/>
      <c r="N12" s="17"/>
      <c r="O12" s="17"/>
      <c r="P12" s="17"/>
      <c r="Q12" s="17"/>
      <c r="R12" s="17"/>
    </row>
    <row r="13" spans="1:18" x14ac:dyDescent="0.2">
      <c r="A13" s="4" t="s">
        <v>9</v>
      </c>
      <c r="B13" s="7">
        <f>+VLOOKUP($A13,DataSets!$A$16:$L$25,Model!$B$1+1)</f>
        <v>1444</v>
      </c>
      <c r="C13" s="7">
        <f t="shared" si="0"/>
        <v>774</v>
      </c>
      <c r="D13" s="11">
        <f t="shared" si="1"/>
        <v>0.53601108033240996</v>
      </c>
      <c r="E13" s="7">
        <f>+VLOOKUP($A13,DataSets!$A$41:$L$49,Model!$B$1+1)</f>
        <v>489</v>
      </c>
      <c r="F13" s="7">
        <f>+VLOOKUP($A13,DataSets!$A$65:$L$73,Model!$B$1+1)</f>
        <v>285</v>
      </c>
      <c r="G13" s="12">
        <f t="shared" si="2"/>
        <v>0.63178294573643412</v>
      </c>
      <c r="H13" s="12">
        <f t="shared" si="3"/>
        <v>0.36821705426356588</v>
      </c>
      <c r="M13" s="17"/>
      <c r="N13" s="17"/>
      <c r="O13" s="17"/>
      <c r="P13" s="17"/>
      <c r="Q13" s="17"/>
      <c r="R13" s="17"/>
    </row>
    <row r="14" spans="1:18" x14ac:dyDescent="0.2">
      <c r="A14" s="4" t="s">
        <v>10</v>
      </c>
      <c r="B14" s="7">
        <f>SUM(B5:B13)</f>
        <v>60088</v>
      </c>
      <c r="C14" s="7">
        <f>SUM(C5:C13)</f>
        <v>24766</v>
      </c>
      <c r="D14" s="13">
        <f t="shared" si="1"/>
        <v>0.41216216216216217</v>
      </c>
      <c r="E14" s="7">
        <f>SUM(E5:E13)</f>
        <v>18523</v>
      </c>
      <c r="F14" s="7">
        <f>SUM(F5:F13)</f>
        <v>6243</v>
      </c>
      <c r="G14" s="14">
        <f t="shared" si="2"/>
        <v>0.74792053621900989</v>
      </c>
      <c r="H14" s="14">
        <f t="shared" si="3"/>
        <v>0.25207946378099005</v>
      </c>
      <c r="M14" s="17"/>
      <c r="N14" s="17"/>
      <c r="O14" s="17"/>
      <c r="P14" s="17"/>
      <c r="Q14" s="17"/>
      <c r="R14" s="17"/>
    </row>
    <row r="15" spans="1:18" x14ac:dyDescent="0.2">
      <c r="M15" s="17"/>
      <c r="N15" s="17"/>
      <c r="O15" s="17"/>
      <c r="P15" s="17"/>
      <c r="Q15" s="17"/>
      <c r="R15" s="17"/>
    </row>
    <row r="16" spans="1:18" x14ac:dyDescent="0.2">
      <c r="A16" s="3" t="s">
        <v>19</v>
      </c>
      <c r="M16" s="17"/>
      <c r="N16" s="17"/>
      <c r="O16" s="17"/>
      <c r="P16" s="17"/>
      <c r="Q16" s="17"/>
      <c r="R16" s="17"/>
    </row>
    <row r="17" spans="1:18" x14ac:dyDescent="0.2">
      <c r="A17" s="4" t="s">
        <v>10</v>
      </c>
      <c r="B17" s="7">
        <f>+VLOOKUP($A17,DataSets!$A$81:$L$83,Model!$B$1+1)</f>
        <v>858</v>
      </c>
      <c r="M17" s="17"/>
      <c r="N17" s="17"/>
      <c r="O17" s="17"/>
      <c r="P17" s="17"/>
      <c r="Q17" s="17"/>
      <c r="R17" s="17"/>
    </row>
    <row r="18" spans="1:18" x14ac:dyDescent="0.2">
      <c r="A18" s="4" t="s">
        <v>20</v>
      </c>
      <c r="B18" s="7">
        <f>+VLOOKUP($A18,DataSets!$A$81:$L$83,Model!$B$1+1)</f>
        <v>276</v>
      </c>
      <c r="M18" s="17"/>
      <c r="N18" s="17"/>
      <c r="O18" s="17"/>
      <c r="P18" s="17"/>
      <c r="Q18" s="17"/>
      <c r="R18" s="17"/>
    </row>
    <row r="19" spans="1:18" x14ac:dyDescent="0.2">
      <c r="A19" s="4" t="s">
        <v>21</v>
      </c>
      <c r="B19" s="7">
        <f>+B17-B18</f>
        <v>582</v>
      </c>
      <c r="M19" s="17"/>
      <c r="N19" s="17"/>
      <c r="O19" s="17"/>
      <c r="P19" s="17"/>
      <c r="Q19" s="17"/>
      <c r="R19" s="17"/>
    </row>
    <row r="20" spans="1:18" x14ac:dyDescent="0.2">
      <c r="M20" s="25"/>
      <c r="N20" s="25"/>
      <c r="O20" s="25"/>
      <c r="P20" s="25"/>
      <c r="Q20" s="25"/>
      <c r="R20" s="25"/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/>
    </row>
    <row r="22" spans="1:18" x14ac:dyDescent="0.2">
      <c r="A22" s="4" t="s">
        <v>10</v>
      </c>
      <c r="B22" s="7">
        <f>+B14-B17</f>
        <v>59230</v>
      </c>
      <c r="C22" s="7">
        <f>+C14-C17</f>
        <v>24766</v>
      </c>
      <c r="D22" s="8" t="s">
        <v>18</v>
      </c>
      <c r="E22" s="7">
        <f>+E14-E17</f>
        <v>18523</v>
      </c>
      <c r="F22" s="7">
        <f>+F14-F17</f>
        <v>6243</v>
      </c>
      <c r="G22" s="14">
        <f t="shared" ref="G22:H24" si="4">+E22/$C22</f>
        <v>0.74792053621900989</v>
      </c>
      <c r="H22" s="14">
        <f t="shared" si="4"/>
        <v>0.25207946378099005</v>
      </c>
      <c r="M22" s="26"/>
      <c r="N22" s="26"/>
      <c r="O22" s="26"/>
      <c r="P22" s="26"/>
    </row>
    <row r="23" spans="1:18" x14ac:dyDescent="0.2">
      <c r="A23" s="4" t="s">
        <v>20</v>
      </c>
      <c r="B23" s="7">
        <f>SUM(B5:B10)-B18</f>
        <v>49755</v>
      </c>
      <c r="C23" s="7">
        <f>SUM(C5:C10)-C18</f>
        <v>18574</v>
      </c>
      <c r="D23" s="8" t="s">
        <v>18</v>
      </c>
      <c r="E23" s="7">
        <f>SUM(E5:E10)-E18</f>
        <v>13526</v>
      </c>
      <c r="F23" s="7">
        <f>SUM(F5:F10)-F18</f>
        <v>5048</v>
      </c>
      <c r="G23" s="14">
        <f t="shared" si="4"/>
        <v>0.72822224615053299</v>
      </c>
      <c r="H23" s="14">
        <f t="shared" si="4"/>
        <v>0.27177775384946701</v>
      </c>
      <c r="M23" s="17"/>
      <c r="N23" s="19"/>
      <c r="O23" s="17"/>
      <c r="P23" s="19"/>
    </row>
    <row r="24" spans="1:18" x14ac:dyDescent="0.2">
      <c r="A24" s="4" t="s">
        <v>21</v>
      </c>
      <c r="B24" s="7">
        <f>+SUM(B11:B13)-B19</f>
        <v>9475</v>
      </c>
      <c r="C24" s="7">
        <f>+SUM(C11:C13)-C19</f>
        <v>6192</v>
      </c>
      <c r="D24" s="8" t="s">
        <v>18</v>
      </c>
      <c r="E24" s="7">
        <f>+SUM(E11:E13)-E19</f>
        <v>4997</v>
      </c>
      <c r="F24" s="7">
        <f>+SUM(F11:F13)-F19</f>
        <v>1195</v>
      </c>
      <c r="G24" s="14">
        <f t="shared" si="4"/>
        <v>0.80700904392764861</v>
      </c>
      <c r="H24" s="14">
        <f t="shared" si="4"/>
        <v>0.19299095607235142</v>
      </c>
      <c r="M24" s="17"/>
      <c r="N24" s="19"/>
      <c r="O24" s="17"/>
      <c r="P24" s="19"/>
      <c r="R24" s="19"/>
    </row>
    <row r="25" spans="1:18" x14ac:dyDescent="0.2">
      <c r="M25" s="17"/>
      <c r="N25" s="19"/>
      <c r="O25" s="17"/>
      <c r="P25" s="19"/>
      <c r="R25" s="19"/>
    </row>
    <row r="26" spans="1:18" x14ac:dyDescent="0.2">
      <c r="A26" s="3" t="s">
        <v>26</v>
      </c>
      <c r="M26" s="17"/>
      <c r="N26" s="19"/>
      <c r="O26" s="17"/>
      <c r="P26" s="19"/>
      <c r="R26" s="19"/>
    </row>
    <row r="27" spans="1:18" x14ac:dyDescent="0.2">
      <c r="A27" s="4" t="s">
        <v>10</v>
      </c>
      <c r="B27" s="16">
        <f>+B22/C22</f>
        <v>2.3915852378260518</v>
      </c>
      <c r="D27" s="1"/>
      <c r="E27" t="s">
        <v>27</v>
      </c>
      <c r="M27" s="17"/>
      <c r="N27" s="19"/>
      <c r="O27" s="17"/>
      <c r="P27" s="19"/>
      <c r="R27" s="19"/>
    </row>
    <row r="28" spans="1:18" x14ac:dyDescent="0.2">
      <c r="A28" s="4" t="s">
        <v>20</v>
      </c>
      <c r="B28" s="16">
        <f>+B23/C23</f>
        <v>2.6787444815333261</v>
      </c>
      <c r="D28" s="2"/>
      <c r="E28" t="s">
        <v>28</v>
      </c>
    </row>
    <row r="29" spans="1:18" x14ac:dyDescent="0.2">
      <c r="A29" s="4" t="s">
        <v>21</v>
      </c>
      <c r="B29" s="16">
        <f>+B24/C24</f>
        <v>1.5302002583979328</v>
      </c>
      <c r="M29" s="17"/>
      <c r="O29" s="17"/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+VLOOKUP(A32,forecasts!$A$3:$G$3,Model!D1+1)</f>
        <v>2025</v>
      </c>
      <c r="C32" s="20" t="str">
        <f>+C3</f>
        <v>County:</v>
      </c>
      <c r="D32" s="23" t="str">
        <f>+D3</f>
        <v>Belknap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+VLOOKUP($A34,forecasts!$I$3:$T$12,Model!$B$1+1)</f>
        <v>9825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+VLOOKUP($A35,forecasts!$I$3:$T$12,Model!$B$1+1)</f>
        <v>5780</v>
      </c>
      <c r="C35" s="7">
        <f t="shared" ref="C35:C42" si="5">+B35*D35</f>
        <v>567.52671519281398</v>
      </c>
      <c r="D35" s="11">
        <f t="shared" ref="D35:D42" si="6">+D6</f>
        <v>9.8188013009137376E-2</v>
      </c>
      <c r="E35" s="7">
        <f t="shared" ref="E35:F42" si="7">+G35*$C35</f>
        <v>126.21650921480564</v>
      </c>
      <c r="F35" s="7">
        <f t="shared" si="7"/>
        <v>441.31020597800836</v>
      </c>
      <c r="G35" s="12">
        <f t="shared" ref="G35:H42" si="8">+G6</f>
        <v>0.22239747634069401</v>
      </c>
      <c r="H35" s="12">
        <f t="shared" si="8"/>
        <v>0.77760252365930604</v>
      </c>
    </row>
    <row r="36" spans="1:8" x14ac:dyDescent="0.2">
      <c r="A36" s="4" t="s">
        <v>3</v>
      </c>
      <c r="B36" s="7">
        <f>+VLOOKUP($A36,forecasts!$I$3:$T$12,Model!$B$1+1)</f>
        <v>6096</v>
      </c>
      <c r="C36" s="7">
        <f t="shared" si="5"/>
        <v>2672.2326708676683</v>
      </c>
      <c r="D36" s="11">
        <f t="shared" si="6"/>
        <v>0.43835837776700598</v>
      </c>
      <c r="E36" s="7">
        <f t="shared" si="7"/>
        <v>1359.2632089190499</v>
      </c>
      <c r="F36" s="7">
        <f t="shared" si="7"/>
        <v>1312.9694619486186</v>
      </c>
      <c r="G36" s="12">
        <f t="shared" si="8"/>
        <v>0.50866199778842613</v>
      </c>
      <c r="H36" s="12">
        <f t="shared" si="8"/>
        <v>0.49133800221157392</v>
      </c>
    </row>
    <row r="37" spans="1:8" x14ac:dyDescent="0.2">
      <c r="A37" s="4" t="s">
        <v>4</v>
      </c>
      <c r="B37" s="7">
        <f>+VLOOKUP($A37,forecasts!$I$3:$T$12,Model!$B$1+1)</f>
        <v>7879</v>
      </c>
      <c r="C37" s="7">
        <f t="shared" si="5"/>
        <v>4092.1858280046977</v>
      </c>
      <c r="D37" s="11">
        <f t="shared" si="6"/>
        <v>0.51937883335508284</v>
      </c>
      <c r="E37" s="7">
        <f t="shared" si="7"/>
        <v>2888.178389664622</v>
      </c>
      <c r="F37" s="7">
        <f t="shared" si="7"/>
        <v>1204.0074383400756</v>
      </c>
      <c r="G37" s="12">
        <f t="shared" si="8"/>
        <v>0.70577889447236186</v>
      </c>
      <c r="H37" s="12">
        <f t="shared" si="8"/>
        <v>0.29422110552763819</v>
      </c>
    </row>
    <row r="38" spans="1:8" x14ac:dyDescent="0.2">
      <c r="A38" s="4" t="s">
        <v>5</v>
      </c>
      <c r="B38" s="7">
        <f>+VLOOKUP($A38,forecasts!$I$3:$T$12,Model!$B$1+1)</f>
        <v>7488</v>
      </c>
      <c r="C38" s="7">
        <f t="shared" si="5"/>
        <v>4191.479751699675</v>
      </c>
      <c r="D38" s="11">
        <f t="shared" si="6"/>
        <v>0.55975958222484978</v>
      </c>
      <c r="E38" s="7">
        <f t="shared" si="7"/>
        <v>3292.0934082175586</v>
      </c>
      <c r="F38" s="7">
        <f t="shared" si="7"/>
        <v>899.38634348211644</v>
      </c>
      <c r="G38" s="12">
        <f t="shared" si="8"/>
        <v>0.78542510121457487</v>
      </c>
      <c r="H38" s="12">
        <f t="shared" si="8"/>
        <v>0.2145748987854251</v>
      </c>
    </row>
    <row r="39" spans="1:8" x14ac:dyDescent="0.2">
      <c r="A39" s="4" t="s">
        <v>6</v>
      </c>
      <c r="B39" s="7">
        <f>+VLOOKUP($A39,forecasts!$I$3:$T$12,Model!$B$1+1)</f>
        <v>9946</v>
      </c>
      <c r="C39" s="7">
        <f t="shared" si="5"/>
        <v>5801.6596101446239</v>
      </c>
      <c r="D39" s="11">
        <f t="shared" si="6"/>
        <v>0.58331586669461333</v>
      </c>
      <c r="E39" s="7">
        <f t="shared" si="7"/>
        <v>4934.4334521064766</v>
      </c>
      <c r="F39" s="7">
        <f t="shared" si="7"/>
        <v>867.22615803814722</v>
      </c>
      <c r="G39" s="12">
        <f t="shared" si="8"/>
        <v>0.8505210204814948</v>
      </c>
      <c r="H39" s="12">
        <f t="shared" si="8"/>
        <v>0.14947897951850522</v>
      </c>
    </row>
    <row r="40" spans="1:8" x14ac:dyDescent="0.2">
      <c r="A40" s="4" t="s">
        <v>7</v>
      </c>
      <c r="B40" s="7">
        <f>+VLOOKUP($A40,forecasts!$I$3:$T$12,Model!$B$1+1)</f>
        <v>9982</v>
      </c>
      <c r="C40" s="7">
        <f t="shared" si="5"/>
        <v>6191.8764889133217</v>
      </c>
      <c r="D40" s="11">
        <f t="shared" si="6"/>
        <v>0.62030419644493306</v>
      </c>
      <c r="E40" s="7">
        <f t="shared" si="7"/>
        <v>5306.5387575590976</v>
      </c>
      <c r="F40" s="7">
        <f t="shared" si="7"/>
        <v>885.33773135422382</v>
      </c>
      <c r="G40" s="12">
        <f t="shared" si="8"/>
        <v>0.85701624815361888</v>
      </c>
      <c r="H40" s="12">
        <f t="shared" si="8"/>
        <v>0.1429837518463811</v>
      </c>
    </row>
    <row r="41" spans="1:8" x14ac:dyDescent="0.2">
      <c r="A41" s="4" t="s">
        <v>8</v>
      </c>
      <c r="B41" s="7">
        <f>+VLOOKUP($A41,forecasts!$I$3:$T$12,Model!$B$1+1)</f>
        <v>5586</v>
      </c>
      <c r="C41" s="7">
        <f t="shared" si="5"/>
        <v>3598.332699619772</v>
      </c>
      <c r="D41" s="11">
        <f t="shared" si="6"/>
        <v>0.64416983523447402</v>
      </c>
      <c r="E41" s="7">
        <f t="shared" si="7"/>
        <v>2844.3288973384033</v>
      </c>
      <c r="F41" s="7">
        <f t="shared" si="7"/>
        <v>754.00380228136885</v>
      </c>
      <c r="G41" s="12">
        <f t="shared" si="8"/>
        <v>0.79045745204131823</v>
      </c>
      <c r="H41" s="12">
        <f t="shared" si="8"/>
        <v>0.20954254795868174</v>
      </c>
    </row>
    <row r="42" spans="1:8" x14ac:dyDescent="0.2">
      <c r="A42" s="4" t="s">
        <v>70</v>
      </c>
      <c r="B42" s="7">
        <f>+VLOOKUP($A42,forecasts!$I$3:$T$12,Model!$B$1+1)</f>
        <v>1878</v>
      </c>
      <c r="C42" s="7">
        <f t="shared" si="5"/>
        <v>1006.6288088642659</v>
      </c>
      <c r="D42" s="11">
        <f t="shared" si="6"/>
        <v>0.53601108033240996</v>
      </c>
      <c r="E42" s="7">
        <f t="shared" si="7"/>
        <v>635.97091412742384</v>
      </c>
      <c r="F42" s="7">
        <f t="shared" si="7"/>
        <v>370.65789473684208</v>
      </c>
      <c r="G42" s="12">
        <f t="shared" si="8"/>
        <v>0.63178294573643412</v>
      </c>
      <c r="H42" s="12">
        <f t="shared" si="8"/>
        <v>0.36821705426356588</v>
      </c>
    </row>
    <row r="43" spans="1:8" x14ac:dyDescent="0.2">
      <c r="A43" s="4" t="s">
        <v>10</v>
      </c>
      <c r="B43" s="7">
        <f>SUM(B34:B42)</f>
        <v>64460</v>
      </c>
      <c r="C43" s="7">
        <f>SUM(C34:C42)</f>
        <v>28121.922573306834</v>
      </c>
      <c r="D43" s="13">
        <f>+C43/B43</f>
        <v>0.43626935422443119</v>
      </c>
      <c r="E43" s="7">
        <f>SUM(E34:E42)</f>
        <v>21387.023537147441</v>
      </c>
      <c r="F43" s="7">
        <f>SUM(F34:F42)</f>
        <v>6734.8990361594006</v>
      </c>
      <c r="G43" s="14">
        <f>+E43/$C43</f>
        <v>0.76051071833359929</v>
      </c>
      <c r="H43" s="14">
        <f>+F43/$C43</f>
        <v>0.23948928166640099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1013.5265376731302</v>
      </c>
    </row>
    <row r="47" spans="1:8" x14ac:dyDescent="0.2">
      <c r="A47" s="4" t="s">
        <v>20</v>
      </c>
      <c r="B47" s="7">
        <f>+B18*(SUM(B35:B39)/SUM(B6:B10))</f>
        <v>256.60410000000002</v>
      </c>
      <c r="D47" t="s">
        <v>30</v>
      </c>
    </row>
    <row r="48" spans="1:8" x14ac:dyDescent="0.2">
      <c r="A48" s="4" t="s">
        <v>21</v>
      </c>
      <c r="B48" s="7">
        <f>+B19*(B42/B13)</f>
        <v>756.92243767313016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63446.473462326867</v>
      </c>
      <c r="C51" s="7">
        <f>+C43-C46</f>
        <v>28121.922573306834</v>
      </c>
      <c r="D51" s="8" t="s">
        <v>18</v>
      </c>
      <c r="E51" s="7">
        <f>+E43-E46</f>
        <v>21387.023537147441</v>
      </c>
      <c r="F51" s="7">
        <f>+F43-F46</f>
        <v>6734.8990361594006</v>
      </c>
      <c r="G51" s="14">
        <f t="shared" ref="G51:H53" si="9">+E51/$C51</f>
        <v>0.76051071833359929</v>
      </c>
      <c r="H51" s="14">
        <f t="shared" si="9"/>
        <v>0.23948928166640099</v>
      </c>
    </row>
    <row r="52" spans="1:8" x14ac:dyDescent="0.2">
      <c r="A52" s="4" t="s">
        <v>20</v>
      </c>
      <c r="B52" s="7">
        <f>SUM(B34:B39)-B47</f>
        <v>46757.395900000003</v>
      </c>
      <c r="C52" s="7">
        <f>SUM(C34:C39)-C47</f>
        <v>17325.084575909477</v>
      </c>
      <c r="D52" s="8" t="s">
        <v>18</v>
      </c>
      <c r="E52" s="7">
        <f>SUM(E34:E39)-E47</f>
        <v>12600.184968122514</v>
      </c>
      <c r="F52" s="7">
        <f>SUM(F34:F39)-F47</f>
        <v>4724.899607786966</v>
      </c>
      <c r="G52" s="14">
        <f t="shared" si="9"/>
        <v>0.72727985326219224</v>
      </c>
      <c r="H52" s="14">
        <f t="shared" si="9"/>
        <v>0.27272014673780798</v>
      </c>
    </row>
    <row r="53" spans="1:8" x14ac:dyDescent="0.2">
      <c r="A53" s="4" t="s">
        <v>21</v>
      </c>
      <c r="B53" s="7">
        <f>+SUM(B40:B42)-B48</f>
        <v>16689.077562326871</v>
      </c>
      <c r="C53" s="7">
        <f>+SUM(C40:C42)-C48</f>
        <v>10796.837997397361</v>
      </c>
      <c r="D53" s="8" t="s">
        <v>18</v>
      </c>
      <c r="E53" s="7">
        <f>+SUM(E40:E42)-E48</f>
        <v>8786.8385690249252</v>
      </c>
      <c r="F53" s="7">
        <f>+SUM(F40:F42)-F48</f>
        <v>2009.9994283724347</v>
      </c>
      <c r="G53" s="14">
        <f t="shared" si="9"/>
        <v>0.8138344366325625</v>
      </c>
      <c r="H53" s="14">
        <f t="shared" si="9"/>
        <v>0.18616556336743745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2.2561214759388424</v>
      </c>
      <c r="D56" s="1"/>
      <c r="E56" t="s">
        <v>27</v>
      </c>
    </row>
    <row r="57" spans="1:8" x14ac:dyDescent="0.2">
      <c r="A57" s="4" t="s">
        <v>20</v>
      </c>
      <c r="B57" s="16">
        <f>+B52/C52</f>
        <v>2.6988264152554926</v>
      </c>
      <c r="D57" s="2"/>
      <c r="E57" t="s">
        <v>28</v>
      </c>
    </row>
    <row r="58" spans="1:8" x14ac:dyDescent="0.2">
      <c r="A58" s="4" t="s">
        <v>21</v>
      </c>
      <c r="B58" s="16">
        <f>+B53/C53</f>
        <v>1.5457375174425947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2" workbookViewId="0">
      <selection activeCell="E51" sqref="E51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1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VLOOKUP(C3,DataSets!$A$2:$L$2,'1'!B1+1)</f>
        <v>Belknap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+VLOOKUP($A5,DataSets!$A$16:$L$25,'1'!$B$1+1)</f>
        <v>10031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+VLOOKUP($A6,DataSets!$A$16:$L$25,'1'!$B$1+1)</f>
        <v>6457</v>
      </c>
      <c r="C6" s="7">
        <f t="shared" ref="C6:C13" si="0">+E6+F6</f>
        <v>634</v>
      </c>
      <c r="D6" s="11">
        <f t="shared" ref="D6:D14" si="1">+C6/B6</f>
        <v>9.8188013009137376E-2</v>
      </c>
      <c r="E6" s="7">
        <f>+VLOOKUP($A6,DataSets!$A$41:$L$49,'1'!$B$1+1)</f>
        <v>141</v>
      </c>
      <c r="F6" s="7">
        <f>+VLOOKUP($A6,DataSets!$A$65:$L$73,'1'!$B$1+1)</f>
        <v>493</v>
      </c>
      <c r="G6" s="12">
        <f t="shared" ref="G6:G14" si="2">+E6/$C6</f>
        <v>0.22239747634069401</v>
      </c>
      <c r="H6" s="12">
        <f t="shared" ref="H6:H14" si="3">+F6/$C6</f>
        <v>0.77760252365930604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+VLOOKUP($A7,DataSets!$A$16:$L$25,'1'!$B$1+1)</f>
        <v>6189</v>
      </c>
      <c r="C7" s="7">
        <f t="shared" si="0"/>
        <v>2713</v>
      </c>
      <c r="D7" s="11">
        <f t="shared" si="1"/>
        <v>0.43835837776700598</v>
      </c>
      <c r="E7" s="7">
        <f>+VLOOKUP($A7,DataSets!$A$41:$L$49,'1'!$B$1+1)</f>
        <v>1380</v>
      </c>
      <c r="F7" s="7">
        <f>+VLOOKUP($A7,DataSets!$A$65:$L$73,'1'!$B$1+1)</f>
        <v>1333</v>
      </c>
      <c r="G7" s="12">
        <f t="shared" si="2"/>
        <v>0.50866199778842613</v>
      </c>
      <c r="H7" s="12">
        <f t="shared" si="3"/>
        <v>0.49133800221157392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+VLOOKUP($A8,DataSets!$A$16:$L$25,'1'!$B$1+1)</f>
        <v>7663</v>
      </c>
      <c r="C8" s="7">
        <f t="shared" si="0"/>
        <v>3980</v>
      </c>
      <c r="D8" s="11">
        <f t="shared" si="1"/>
        <v>0.51937883335508284</v>
      </c>
      <c r="E8" s="7">
        <f>+VLOOKUP($A8,DataSets!$A$41:$L$49,'1'!$B$1+1)</f>
        <v>2809</v>
      </c>
      <c r="F8" s="7">
        <f>+VLOOKUP($A8,DataSets!$A$65:$L$73,'1'!$B$1+1)</f>
        <v>1171</v>
      </c>
      <c r="G8" s="12">
        <f t="shared" si="2"/>
        <v>0.70577889447236186</v>
      </c>
      <c r="H8" s="12">
        <f t="shared" si="3"/>
        <v>0.29422110552763819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+VLOOKUP($A9,DataSets!$A$16:$L$25,'1'!$B$1+1)</f>
        <v>10149</v>
      </c>
      <c r="C9" s="7">
        <f t="shared" si="0"/>
        <v>5681</v>
      </c>
      <c r="D9" s="11">
        <f t="shared" si="1"/>
        <v>0.55975958222484978</v>
      </c>
      <c r="E9" s="7">
        <f>+VLOOKUP($A9,DataSets!$A$41:$L$49,'1'!$B$1+1)</f>
        <v>4462</v>
      </c>
      <c r="F9" s="7">
        <f>+VLOOKUP($A9,DataSets!$A$65:$L$73,'1'!$B$1+1)</f>
        <v>1219</v>
      </c>
      <c r="G9" s="12">
        <f t="shared" si="2"/>
        <v>0.78542510121457487</v>
      </c>
      <c r="H9" s="12">
        <f t="shared" si="3"/>
        <v>0.2145748987854251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+VLOOKUP($A10,DataSets!$A$16:$L$25,'1'!$B$1+1)</f>
        <v>9542</v>
      </c>
      <c r="C10" s="7">
        <f t="shared" si="0"/>
        <v>5566</v>
      </c>
      <c r="D10" s="11">
        <f t="shared" si="1"/>
        <v>0.58331586669461333</v>
      </c>
      <c r="E10" s="7">
        <f>+VLOOKUP($A10,DataSets!$A$41:$L$49,'1'!$B$1+1)</f>
        <v>4734</v>
      </c>
      <c r="F10" s="7">
        <f>+VLOOKUP($A10,DataSets!$A$65:$L$73,'1'!$B$1+1)</f>
        <v>832</v>
      </c>
      <c r="G10" s="12">
        <f t="shared" si="2"/>
        <v>0.8505210204814948</v>
      </c>
      <c r="H10" s="12">
        <f t="shared" si="3"/>
        <v>0.14947897951850522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+VLOOKUP($A11,DataSets!$A$16:$L$25,'1'!$B$1+1)</f>
        <v>5457</v>
      </c>
      <c r="C11" s="7">
        <f t="shared" si="0"/>
        <v>3385</v>
      </c>
      <c r="D11" s="11">
        <f t="shared" si="1"/>
        <v>0.62030419644493306</v>
      </c>
      <c r="E11" s="7">
        <f>+VLOOKUP($A11,DataSets!$A$41:$L$49,'1'!$B$1+1)</f>
        <v>2901</v>
      </c>
      <c r="F11" s="7">
        <f>+VLOOKUP($A11,DataSets!$A$65:$L$73,'1'!$B$1+1)</f>
        <v>484</v>
      </c>
      <c r="G11" s="12">
        <f t="shared" si="2"/>
        <v>0.85701624815361888</v>
      </c>
      <c r="H11" s="12">
        <f t="shared" si="3"/>
        <v>0.1429837518463811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+VLOOKUP($A12,DataSets!$A$16:$L$25,'1'!$B$1+1)</f>
        <v>3156</v>
      </c>
      <c r="C12" s="7">
        <f t="shared" si="0"/>
        <v>2033</v>
      </c>
      <c r="D12" s="11">
        <f t="shared" si="1"/>
        <v>0.64416983523447402</v>
      </c>
      <c r="E12" s="7">
        <f>+VLOOKUP($A12,DataSets!$A$41:$L$49,'1'!$B$1+1)</f>
        <v>1607</v>
      </c>
      <c r="F12" s="7">
        <f>+VLOOKUP($A12,DataSets!$A$65:$L$73,'1'!$B$1+1)</f>
        <v>426</v>
      </c>
      <c r="G12" s="12">
        <f t="shared" si="2"/>
        <v>0.79045745204131823</v>
      </c>
      <c r="H12" s="12">
        <f t="shared" si="3"/>
        <v>0.20954254795868174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+VLOOKUP($A13,DataSets!$A$16:$L$25,'1'!$B$1+1)</f>
        <v>1444</v>
      </c>
      <c r="C13" s="7">
        <f t="shared" si="0"/>
        <v>774</v>
      </c>
      <c r="D13" s="11">
        <f t="shared" si="1"/>
        <v>0.53601108033240996</v>
      </c>
      <c r="E13" s="7">
        <f>+VLOOKUP($A13,DataSets!$A$41:$L$49,'1'!$B$1+1)</f>
        <v>489</v>
      </c>
      <c r="F13" s="7">
        <f>+VLOOKUP($A13,DataSets!$A$65:$L$73,'1'!$B$1+1)</f>
        <v>285</v>
      </c>
      <c r="G13" s="12">
        <f t="shared" si="2"/>
        <v>0.63178294573643412</v>
      </c>
      <c r="H13" s="12">
        <f t="shared" si="3"/>
        <v>0.36821705426356588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60088</v>
      </c>
      <c r="C14" s="7">
        <f>SUM(C5:C13)</f>
        <v>24766</v>
      </c>
      <c r="D14" s="13">
        <f t="shared" si="1"/>
        <v>0.41216216216216217</v>
      </c>
      <c r="E14" s="7">
        <f>SUM(E5:E13)</f>
        <v>18523</v>
      </c>
      <c r="F14" s="7">
        <f>SUM(F5:F13)</f>
        <v>6243</v>
      </c>
      <c r="G14" s="14">
        <f t="shared" si="2"/>
        <v>0.74792053621900989</v>
      </c>
      <c r="H14" s="14">
        <f t="shared" si="3"/>
        <v>0.25207946378099005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+VLOOKUP($A17,DataSets!$A$81:$L$83,'1'!$B$1+1)</f>
        <v>858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+VLOOKUP($A18,DataSets!$A$81:$L$83,'1'!$B$1+1)</f>
        <v>276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582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Belknap County, New Hampshire</v>
      </c>
    </row>
    <row r="22" spans="1:18" x14ac:dyDescent="0.2">
      <c r="A22" s="4" t="s">
        <v>10</v>
      </c>
      <c r="B22" s="7">
        <f>+B14-B17</f>
        <v>59230</v>
      </c>
      <c r="C22" s="7">
        <f>+C14-C17</f>
        <v>24766</v>
      </c>
      <c r="D22" s="8" t="s">
        <v>18</v>
      </c>
      <c r="E22" s="7">
        <f>+E14-E17</f>
        <v>18523</v>
      </c>
      <c r="F22" s="7">
        <f>+F14-F17</f>
        <v>6243</v>
      </c>
      <c r="G22" s="14">
        <f t="shared" ref="G22:H24" si="6">+E22/$C22</f>
        <v>0.74792053621900989</v>
      </c>
      <c r="H22" s="14">
        <f t="shared" si="6"/>
        <v>0.25207946378099005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49755</v>
      </c>
      <c r="C23" s="7">
        <f>SUM(C5:C10)-C18</f>
        <v>18574</v>
      </c>
      <c r="D23" s="8" t="s">
        <v>18</v>
      </c>
      <c r="E23" s="7">
        <f>SUM(E5:E10)-E18</f>
        <v>13526</v>
      </c>
      <c r="F23" s="7">
        <f>SUM(F5:F10)-F18</f>
        <v>5048</v>
      </c>
      <c r="G23" s="14">
        <f t="shared" si="6"/>
        <v>0.72822224615053299</v>
      </c>
      <c r="H23" s="14">
        <f t="shared" si="6"/>
        <v>0.27177775384946701</v>
      </c>
      <c r="L23" t="s">
        <v>10</v>
      </c>
      <c r="M23" s="17">
        <f>SUM(M24:M27)</f>
        <v>24766</v>
      </c>
      <c r="N23" s="19">
        <f>+M23/M$23</f>
        <v>1</v>
      </c>
      <c r="O23" s="17">
        <f>SUM(O24:O27)</f>
        <v>28121.922573306838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9475</v>
      </c>
      <c r="C24" s="7">
        <f>+SUM(C11:C13)-C19</f>
        <v>6192</v>
      </c>
      <c r="D24" s="8" t="s">
        <v>18</v>
      </c>
      <c r="E24" s="7">
        <f>+SUM(E11:E13)-E19</f>
        <v>4997</v>
      </c>
      <c r="F24" s="7">
        <f>+SUM(F11:F13)-F19</f>
        <v>1195</v>
      </c>
      <c r="G24" s="14">
        <f t="shared" si="6"/>
        <v>0.80700904392764861</v>
      </c>
      <c r="H24" s="14">
        <f t="shared" si="6"/>
        <v>0.19299095607235142</v>
      </c>
      <c r="L24" t="s">
        <v>88</v>
      </c>
      <c r="M24" s="17">
        <f>+SUM(E6:F6)</f>
        <v>634</v>
      </c>
      <c r="N24" s="19">
        <f>+M24/M$23</f>
        <v>2.559961237180005E-2</v>
      </c>
      <c r="O24" s="17">
        <f>+SUM(E35:F35)</f>
        <v>567.52671519281398</v>
      </c>
      <c r="P24" s="19">
        <f>+O24/O$23</f>
        <v>2.0180935841545448E-2</v>
      </c>
      <c r="R24" s="19">
        <f>+P24-N24</f>
        <v>-5.4186765302546014E-3</v>
      </c>
    </row>
    <row r="25" spans="1:18" x14ac:dyDescent="0.2">
      <c r="L25" t="s">
        <v>89</v>
      </c>
      <c r="M25" s="17">
        <f>SUM(E7:F8)</f>
        <v>6693</v>
      </c>
      <c r="N25" s="19">
        <f>+M25/M$23</f>
        <v>0.27024953565371879</v>
      </c>
      <c r="O25" s="17">
        <f>+SUM(E36:F37)</f>
        <v>6764.4184988723664</v>
      </c>
      <c r="P25" s="19">
        <f>+O25/O$23</f>
        <v>0.240538977420168</v>
      </c>
      <c r="R25" s="19">
        <f>+P25-N25</f>
        <v>-2.9710558233550788E-2</v>
      </c>
    </row>
    <row r="26" spans="1:18" x14ac:dyDescent="0.2">
      <c r="A26" s="3" t="s">
        <v>26</v>
      </c>
      <c r="L26" t="s">
        <v>90</v>
      </c>
      <c r="M26" s="17">
        <f>+SUM(E9:F10)</f>
        <v>11247</v>
      </c>
      <c r="N26" s="19">
        <f>+M26/M$23</f>
        <v>0.45413066300573368</v>
      </c>
      <c r="O26" s="17">
        <f>+SUM(E38:F39)</f>
        <v>9993.139361844298</v>
      </c>
      <c r="P26" s="19">
        <f>+O26/O$23</f>
        <v>0.35535050407007829</v>
      </c>
      <c r="R26" s="19">
        <f>+P26-N26</f>
        <v>-9.8780158935655393E-2</v>
      </c>
    </row>
    <row r="27" spans="1:18" x14ac:dyDescent="0.2">
      <c r="A27" s="4" t="s">
        <v>10</v>
      </c>
      <c r="B27" s="16">
        <f>+B22/C22</f>
        <v>2.3915852378260518</v>
      </c>
      <c r="D27" s="1"/>
      <c r="E27" t="s">
        <v>27</v>
      </c>
      <c r="L27" t="s">
        <v>91</v>
      </c>
      <c r="M27" s="17">
        <f>+SUM(E11:F13)</f>
        <v>6192</v>
      </c>
      <c r="N27" s="19">
        <f>+M27/M$23</f>
        <v>0.2500201889687475</v>
      </c>
      <c r="O27" s="17">
        <f>+SUM(E40:F42)</f>
        <v>10796.837997397359</v>
      </c>
      <c r="P27" s="19">
        <f>+O27/O$23</f>
        <v>0.38392958266820826</v>
      </c>
      <c r="R27" s="19">
        <f>+P27-N27</f>
        <v>0.13390939369946075</v>
      </c>
    </row>
    <row r="28" spans="1:18" x14ac:dyDescent="0.2">
      <c r="A28" s="4" t="s">
        <v>20</v>
      </c>
      <c r="B28" s="16">
        <f>+B23/C23</f>
        <v>2.6787444815333261</v>
      </c>
      <c r="D28" s="2"/>
      <c r="E28" t="s">
        <v>28</v>
      </c>
    </row>
    <row r="29" spans="1:18" x14ac:dyDescent="0.2">
      <c r="A29" s="4" t="s">
        <v>21</v>
      </c>
      <c r="B29" s="16">
        <f>+B24/C24</f>
        <v>1.5302002583979328</v>
      </c>
      <c r="M29" s="17">
        <f>+E14+F14</f>
        <v>24766</v>
      </c>
      <c r="O29" s="17">
        <f>+E43+F43</f>
        <v>28121.922573306842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+VLOOKUP(A32,forecasts!$A$3:$G$3,'1'!D1+1)</f>
        <v>2025</v>
      </c>
      <c r="C32" s="20" t="str">
        <f>+C3</f>
        <v>County:</v>
      </c>
      <c r="D32" s="23" t="str">
        <f>+D3</f>
        <v>Belknap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+VLOOKUP($A34,forecasts!$I$3:$T$12,'1'!$B$1+1)</f>
        <v>9825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+VLOOKUP($A35,forecasts!$I$3:$T$12,'1'!$B$1+1)</f>
        <v>5780</v>
      </c>
      <c r="C35" s="7">
        <f t="shared" ref="C35:C42" si="7">+B35*D35</f>
        <v>567.52671519281398</v>
      </c>
      <c r="D35" s="11">
        <f t="shared" ref="D35:D42" si="8">+D6</f>
        <v>9.8188013009137376E-2</v>
      </c>
      <c r="E35" s="7">
        <f t="shared" ref="E35:F42" si="9">+G35*$C35</f>
        <v>126.21650921480564</v>
      </c>
      <c r="F35" s="7">
        <f t="shared" si="9"/>
        <v>441.31020597800836</v>
      </c>
      <c r="G35" s="12">
        <f t="shared" ref="G35:H42" si="10">+G6</f>
        <v>0.22239747634069401</v>
      </c>
      <c r="H35" s="12">
        <f t="shared" si="10"/>
        <v>0.77760252365930604</v>
      </c>
    </row>
    <row r="36" spans="1:8" x14ac:dyDescent="0.2">
      <c r="A36" s="4" t="s">
        <v>3</v>
      </c>
      <c r="B36" s="7">
        <f>+VLOOKUP($A36,forecasts!$I$3:$T$12,'1'!$B$1+1)</f>
        <v>6096</v>
      </c>
      <c r="C36" s="7">
        <f t="shared" si="7"/>
        <v>2672.2326708676683</v>
      </c>
      <c r="D36" s="11">
        <f t="shared" si="8"/>
        <v>0.43835837776700598</v>
      </c>
      <c r="E36" s="7">
        <f t="shared" si="9"/>
        <v>1359.2632089190499</v>
      </c>
      <c r="F36" s="7">
        <f t="shared" si="9"/>
        <v>1312.9694619486186</v>
      </c>
      <c r="G36" s="12">
        <f t="shared" si="10"/>
        <v>0.50866199778842613</v>
      </c>
      <c r="H36" s="12">
        <f t="shared" si="10"/>
        <v>0.49133800221157392</v>
      </c>
    </row>
    <row r="37" spans="1:8" x14ac:dyDescent="0.2">
      <c r="A37" s="4" t="s">
        <v>4</v>
      </c>
      <c r="B37" s="7">
        <f>+VLOOKUP($A37,forecasts!$I$3:$T$12,'1'!$B$1+1)</f>
        <v>7879</v>
      </c>
      <c r="C37" s="7">
        <f t="shared" si="7"/>
        <v>4092.1858280046977</v>
      </c>
      <c r="D37" s="11">
        <f t="shared" si="8"/>
        <v>0.51937883335508284</v>
      </c>
      <c r="E37" s="7">
        <f t="shared" si="9"/>
        <v>2888.178389664622</v>
      </c>
      <c r="F37" s="7">
        <f t="shared" si="9"/>
        <v>1204.0074383400756</v>
      </c>
      <c r="G37" s="12">
        <f t="shared" si="10"/>
        <v>0.70577889447236186</v>
      </c>
      <c r="H37" s="12">
        <f t="shared" si="10"/>
        <v>0.29422110552763819</v>
      </c>
    </row>
    <row r="38" spans="1:8" x14ac:dyDescent="0.2">
      <c r="A38" s="4" t="s">
        <v>5</v>
      </c>
      <c r="B38" s="7">
        <f>+VLOOKUP($A38,forecasts!$I$3:$T$12,'1'!$B$1+1)</f>
        <v>7488</v>
      </c>
      <c r="C38" s="7">
        <f t="shared" si="7"/>
        <v>4191.479751699675</v>
      </c>
      <c r="D38" s="11">
        <f t="shared" si="8"/>
        <v>0.55975958222484978</v>
      </c>
      <c r="E38" s="7">
        <f t="shared" si="9"/>
        <v>3292.0934082175586</v>
      </c>
      <c r="F38" s="7">
        <f t="shared" si="9"/>
        <v>899.38634348211644</v>
      </c>
      <c r="G38" s="12">
        <f t="shared" si="10"/>
        <v>0.78542510121457487</v>
      </c>
      <c r="H38" s="12">
        <f t="shared" si="10"/>
        <v>0.2145748987854251</v>
      </c>
    </row>
    <row r="39" spans="1:8" x14ac:dyDescent="0.2">
      <c r="A39" s="4" t="s">
        <v>6</v>
      </c>
      <c r="B39" s="7">
        <f>+VLOOKUP($A39,forecasts!$I$3:$T$12,'1'!$B$1+1)</f>
        <v>9946</v>
      </c>
      <c r="C39" s="7">
        <f t="shared" si="7"/>
        <v>5801.6596101446239</v>
      </c>
      <c r="D39" s="11">
        <f t="shared" si="8"/>
        <v>0.58331586669461333</v>
      </c>
      <c r="E39" s="7">
        <f t="shared" si="9"/>
        <v>4934.4334521064766</v>
      </c>
      <c r="F39" s="7">
        <f t="shared" si="9"/>
        <v>867.22615803814722</v>
      </c>
      <c r="G39" s="12">
        <f t="shared" si="10"/>
        <v>0.8505210204814948</v>
      </c>
      <c r="H39" s="12">
        <f t="shared" si="10"/>
        <v>0.14947897951850522</v>
      </c>
    </row>
    <row r="40" spans="1:8" x14ac:dyDescent="0.2">
      <c r="A40" s="4" t="s">
        <v>7</v>
      </c>
      <c r="B40" s="7">
        <f>+VLOOKUP($A40,forecasts!$I$3:$T$12,'1'!$B$1+1)</f>
        <v>9982</v>
      </c>
      <c r="C40" s="7">
        <f t="shared" si="7"/>
        <v>6191.8764889133217</v>
      </c>
      <c r="D40" s="11">
        <f t="shared" si="8"/>
        <v>0.62030419644493306</v>
      </c>
      <c r="E40" s="7">
        <f t="shared" si="9"/>
        <v>5306.5387575590976</v>
      </c>
      <c r="F40" s="7">
        <f t="shared" si="9"/>
        <v>885.33773135422382</v>
      </c>
      <c r="G40" s="12">
        <f t="shared" si="10"/>
        <v>0.85701624815361888</v>
      </c>
      <c r="H40" s="12">
        <f t="shared" si="10"/>
        <v>0.1429837518463811</v>
      </c>
    </row>
    <row r="41" spans="1:8" x14ac:dyDescent="0.2">
      <c r="A41" s="4" t="s">
        <v>8</v>
      </c>
      <c r="B41" s="7">
        <f>+VLOOKUP($A41,forecasts!$I$3:$T$12,'1'!$B$1+1)</f>
        <v>5586</v>
      </c>
      <c r="C41" s="7">
        <f t="shared" si="7"/>
        <v>3598.332699619772</v>
      </c>
      <c r="D41" s="11">
        <f t="shared" si="8"/>
        <v>0.64416983523447402</v>
      </c>
      <c r="E41" s="7">
        <f t="shared" si="9"/>
        <v>2844.3288973384033</v>
      </c>
      <c r="F41" s="7">
        <f t="shared" si="9"/>
        <v>754.00380228136885</v>
      </c>
      <c r="G41" s="12">
        <f t="shared" si="10"/>
        <v>0.79045745204131823</v>
      </c>
      <c r="H41" s="12">
        <f t="shared" si="10"/>
        <v>0.20954254795868174</v>
      </c>
    </row>
    <row r="42" spans="1:8" x14ac:dyDescent="0.2">
      <c r="A42" s="4" t="s">
        <v>70</v>
      </c>
      <c r="B42" s="7">
        <f>+VLOOKUP($A42,forecasts!$I$3:$T$12,'1'!$B$1+1)</f>
        <v>1878</v>
      </c>
      <c r="C42" s="7">
        <f t="shared" si="7"/>
        <v>1006.6288088642659</v>
      </c>
      <c r="D42" s="11">
        <f t="shared" si="8"/>
        <v>0.53601108033240996</v>
      </c>
      <c r="E42" s="7">
        <f t="shared" si="9"/>
        <v>635.97091412742384</v>
      </c>
      <c r="F42" s="7">
        <f t="shared" si="9"/>
        <v>370.65789473684208</v>
      </c>
      <c r="G42" s="12">
        <f t="shared" si="10"/>
        <v>0.63178294573643412</v>
      </c>
      <c r="H42" s="12">
        <f t="shared" si="10"/>
        <v>0.36821705426356588</v>
      </c>
    </row>
    <row r="43" spans="1:8" x14ac:dyDescent="0.2">
      <c r="A43" s="4" t="s">
        <v>10</v>
      </c>
      <c r="B43" s="7">
        <f>SUM(B34:B42)</f>
        <v>64460</v>
      </c>
      <c r="C43" s="7">
        <f>SUM(C34:C42)</f>
        <v>28121.922573306834</v>
      </c>
      <c r="D43" s="13">
        <f>+C43/B43</f>
        <v>0.43626935422443119</v>
      </c>
      <c r="E43" s="7">
        <f>SUM(E34:E42)</f>
        <v>21387.023537147441</v>
      </c>
      <c r="F43" s="7">
        <f>SUM(F34:F42)</f>
        <v>6734.8990361594006</v>
      </c>
      <c r="G43" s="14">
        <f>+E43/$C43</f>
        <v>0.76051071833359929</v>
      </c>
      <c r="H43" s="14">
        <f>+F43/$C43</f>
        <v>0.23948928166640099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1013.5265376731302</v>
      </c>
    </row>
    <row r="47" spans="1:8" x14ac:dyDescent="0.2">
      <c r="A47" s="4" t="s">
        <v>20</v>
      </c>
      <c r="B47" s="7">
        <f>+B18*(SUM(B35:B39)/SUM(B6:B10))</f>
        <v>256.60410000000002</v>
      </c>
      <c r="D47" t="s">
        <v>30</v>
      </c>
    </row>
    <row r="48" spans="1:8" x14ac:dyDescent="0.2">
      <c r="A48" s="4" t="s">
        <v>21</v>
      </c>
      <c r="B48" s="7">
        <f>+B19*(B42/B13)</f>
        <v>756.92243767313016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63446.473462326867</v>
      </c>
      <c r="C51" s="7">
        <f>+C43-C46</f>
        <v>28121.922573306834</v>
      </c>
      <c r="D51" s="8" t="s">
        <v>18</v>
      </c>
      <c r="E51" s="7">
        <f>+E43-E46</f>
        <v>21387.023537147441</v>
      </c>
      <c r="F51" s="7">
        <f>+F43-F46</f>
        <v>6734.8990361594006</v>
      </c>
      <c r="G51" s="14">
        <f t="shared" ref="G51:H53" si="11">+E51/$C51</f>
        <v>0.76051071833359929</v>
      </c>
      <c r="H51" s="14">
        <f t="shared" si="11"/>
        <v>0.23948928166640099</v>
      </c>
    </row>
    <row r="52" spans="1:8" x14ac:dyDescent="0.2">
      <c r="A52" s="4" t="s">
        <v>20</v>
      </c>
      <c r="B52" s="7">
        <f>SUM(B34:B39)-B47</f>
        <v>46757.395900000003</v>
      </c>
      <c r="C52" s="7">
        <f>SUM(C34:C39)-C47</f>
        <v>17325.084575909477</v>
      </c>
      <c r="D52" s="8" t="s">
        <v>18</v>
      </c>
      <c r="E52" s="7">
        <f>SUM(E34:E39)-E47</f>
        <v>12600.184968122514</v>
      </c>
      <c r="F52" s="7">
        <f>SUM(F34:F39)-F47</f>
        <v>4724.899607786966</v>
      </c>
      <c r="G52" s="14">
        <f t="shared" si="11"/>
        <v>0.72727985326219224</v>
      </c>
      <c r="H52" s="14">
        <f t="shared" si="11"/>
        <v>0.27272014673780798</v>
      </c>
    </row>
    <row r="53" spans="1:8" x14ac:dyDescent="0.2">
      <c r="A53" s="4" t="s">
        <v>21</v>
      </c>
      <c r="B53" s="7">
        <f>+SUM(B40:B42)-B48</f>
        <v>16689.077562326871</v>
      </c>
      <c r="C53" s="7">
        <f>+SUM(C40:C42)-C48</f>
        <v>10796.837997397361</v>
      </c>
      <c r="D53" s="8" t="s">
        <v>18</v>
      </c>
      <c r="E53" s="7">
        <f>+SUM(E40:E42)-E48</f>
        <v>8786.8385690249252</v>
      </c>
      <c r="F53" s="7">
        <f>+SUM(F40:F42)-F48</f>
        <v>2009.9994283724347</v>
      </c>
      <c r="G53" s="14">
        <f t="shared" si="11"/>
        <v>0.8138344366325625</v>
      </c>
      <c r="H53" s="14">
        <f t="shared" si="11"/>
        <v>0.18616556336743745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2.2561214759388424</v>
      </c>
      <c r="D56" s="1"/>
      <c r="E56" t="s">
        <v>27</v>
      </c>
    </row>
    <row r="57" spans="1:8" x14ac:dyDescent="0.2">
      <c r="A57" s="4" t="s">
        <v>20</v>
      </c>
      <c r="B57" s="16">
        <f>+B52/C52</f>
        <v>2.6988264152554926</v>
      </c>
      <c r="D57" s="2"/>
      <c r="E57" t="s">
        <v>28</v>
      </c>
    </row>
    <row r="58" spans="1:8" x14ac:dyDescent="0.2">
      <c r="A58" s="4" t="s">
        <v>21</v>
      </c>
      <c r="B58" s="16">
        <f>+B53/C53</f>
        <v>1.5457375174425947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2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2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(2)'!B1+1)</f>
        <v>Carroll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(2)'!$B$1+1)</f>
        <v>7108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(2)'!$B$1+1)</f>
        <v>4539</v>
      </c>
      <c r="C6" s="7">
        <f t="shared" ref="C6:C13" si="0">+E6+F6</f>
        <v>422</v>
      </c>
      <c r="D6" s="11">
        <f t="shared" ref="D6:D14" si="1">+C6/B6</f>
        <v>9.2972020268781666E-2</v>
      </c>
      <c r="E6" s="7">
        <f>+VLOOKUP($A6,DataSets!$A$41:$L$49,'1 (2)'!$B$1+1)</f>
        <v>83</v>
      </c>
      <c r="F6" s="7">
        <f>+VLOOKUP($A6,DataSets!$A$65:$L$73,'1 (2)'!$B$1+1)</f>
        <v>339</v>
      </c>
      <c r="G6" s="12">
        <f t="shared" ref="G6:G14" si="2">+E6/$C6</f>
        <v>0.19668246445497631</v>
      </c>
      <c r="H6" s="12">
        <f t="shared" ref="H6:H14" si="3">+F6/$C6</f>
        <v>0.80331753554502372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(2)'!$B$1+1)</f>
        <v>3927</v>
      </c>
      <c r="C7" s="7">
        <f t="shared" si="0"/>
        <v>1714</v>
      </c>
      <c r="D7" s="11">
        <f t="shared" si="1"/>
        <v>0.43646549528902467</v>
      </c>
      <c r="E7" s="7">
        <f>+VLOOKUP($A7,DataSets!$A$41:$L$49,'1 (2)'!$B$1+1)</f>
        <v>846</v>
      </c>
      <c r="F7" s="7">
        <f>+VLOOKUP($A7,DataSets!$A$65:$L$73,'1 (2)'!$B$1+1)</f>
        <v>868</v>
      </c>
      <c r="G7" s="12">
        <f t="shared" si="2"/>
        <v>0.49358226371061842</v>
      </c>
      <c r="H7" s="12">
        <f t="shared" si="3"/>
        <v>0.50641773628938158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(2)'!$B$1+1)</f>
        <v>5744</v>
      </c>
      <c r="C8" s="7">
        <f t="shared" si="0"/>
        <v>3064</v>
      </c>
      <c r="D8" s="11">
        <f t="shared" si="1"/>
        <v>0.53342618384401119</v>
      </c>
      <c r="E8" s="7">
        <f>+VLOOKUP($A8,DataSets!$A$41:$L$49,'1 (2)'!$B$1+1)</f>
        <v>2149</v>
      </c>
      <c r="F8" s="7">
        <f>+VLOOKUP($A8,DataSets!$A$65:$L$73,'1 (2)'!$B$1+1)</f>
        <v>915</v>
      </c>
      <c r="G8" s="12">
        <f t="shared" si="2"/>
        <v>0.70137075718015662</v>
      </c>
      <c r="H8" s="12">
        <f t="shared" si="3"/>
        <v>0.29862924281984332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(2)'!$B$1+1)</f>
        <v>8347</v>
      </c>
      <c r="C9" s="7">
        <f t="shared" si="0"/>
        <v>4769</v>
      </c>
      <c r="D9" s="11">
        <f t="shared" si="1"/>
        <v>0.57134299748412598</v>
      </c>
      <c r="E9" s="7">
        <f>+VLOOKUP($A9,DataSets!$A$41:$L$49,'1 (2)'!$B$1+1)</f>
        <v>3866</v>
      </c>
      <c r="F9" s="7">
        <f>+VLOOKUP($A9,DataSets!$A$65:$L$73,'1 (2)'!$B$1+1)</f>
        <v>903</v>
      </c>
      <c r="G9" s="12">
        <f t="shared" si="2"/>
        <v>0.81065212832879008</v>
      </c>
      <c r="H9" s="12">
        <f t="shared" si="3"/>
        <v>0.18934787167120989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(2)'!$B$1+1)</f>
        <v>8315</v>
      </c>
      <c r="C10" s="7">
        <f t="shared" si="0"/>
        <v>4833</v>
      </c>
      <c r="D10" s="11">
        <f t="shared" si="1"/>
        <v>0.58123872519542996</v>
      </c>
      <c r="E10" s="7">
        <f>+VLOOKUP($A10,DataSets!$A$41:$L$49,'1 (2)'!$B$1+1)</f>
        <v>4242</v>
      </c>
      <c r="F10" s="7">
        <f>+VLOOKUP($A10,DataSets!$A$65:$L$73,'1 (2)'!$B$1+1)</f>
        <v>591</v>
      </c>
      <c r="G10" s="12">
        <f t="shared" si="2"/>
        <v>0.87771570453134695</v>
      </c>
      <c r="H10" s="12">
        <f t="shared" si="3"/>
        <v>0.12228429546865301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(2)'!$B$1+1)</f>
        <v>5491</v>
      </c>
      <c r="C11" s="7">
        <f t="shared" si="0"/>
        <v>3400</v>
      </c>
      <c r="D11" s="11">
        <f t="shared" si="1"/>
        <v>0.61919504643962853</v>
      </c>
      <c r="E11" s="7">
        <f>+VLOOKUP($A11,DataSets!$A$41:$L$49,'1 (2)'!$B$1+1)</f>
        <v>3064</v>
      </c>
      <c r="F11" s="7">
        <f>+VLOOKUP($A11,DataSets!$A$65:$L$73,'1 (2)'!$B$1+1)</f>
        <v>336</v>
      </c>
      <c r="G11" s="12">
        <f t="shared" si="2"/>
        <v>0.90117647058823525</v>
      </c>
      <c r="H11" s="12">
        <f t="shared" si="3"/>
        <v>9.8823529411764699E-2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(2)'!$B$1+1)</f>
        <v>3153</v>
      </c>
      <c r="C12" s="7">
        <f t="shared" si="0"/>
        <v>2111</v>
      </c>
      <c r="D12" s="11">
        <f t="shared" si="1"/>
        <v>0.66952109102442114</v>
      </c>
      <c r="E12" s="7">
        <f>+VLOOKUP($A12,DataSets!$A$41:$L$49,'1 (2)'!$B$1+1)</f>
        <v>1822</v>
      </c>
      <c r="F12" s="7">
        <f>+VLOOKUP($A12,DataSets!$A$65:$L$73,'1 (2)'!$B$1+1)</f>
        <v>289</v>
      </c>
      <c r="G12" s="12">
        <f t="shared" si="2"/>
        <v>0.86309805779251536</v>
      </c>
      <c r="H12" s="12">
        <f t="shared" si="3"/>
        <v>0.13690194220748461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(2)'!$B$1+1)</f>
        <v>1194</v>
      </c>
      <c r="C13" s="7">
        <f t="shared" si="0"/>
        <v>739</v>
      </c>
      <c r="D13" s="11">
        <f t="shared" si="1"/>
        <v>0.61892797319933002</v>
      </c>
      <c r="E13" s="7">
        <f>+VLOOKUP($A13,DataSets!$A$41:$L$49,'1 (2)'!$B$1+1)</f>
        <v>593</v>
      </c>
      <c r="F13" s="7">
        <f>+VLOOKUP($A13,DataSets!$A$65:$L$73,'1 (2)'!$B$1+1)</f>
        <v>146</v>
      </c>
      <c r="G13" s="12">
        <f t="shared" si="2"/>
        <v>0.80243572395128548</v>
      </c>
      <c r="H13" s="12">
        <f t="shared" si="3"/>
        <v>0.19756427604871449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47818</v>
      </c>
      <c r="C14" s="7">
        <f>SUM(C5:C13)</f>
        <v>21052</v>
      </c>
      <c r="D14" s="13">
        <f t="shared" si="1"/>
        <v>0.44025262453469405</v>
      </c>
      <c r="E14" s="7">
        <f>SUM(E5:E13)</f>
        <v>16665</v>
      </c>
      <c r="F14" s="7">
        <f>SUM(F5:F13)</f>
        <v>4387</v>
      </c>
      <c r="G14" s="14">
        <f t="shared" si="2"/>
        <v>0.79161124833745011</v>
      </c>
      <c r="H14" s="14">
        <f t="shared" si="3"/>
        <v>0.20838875166254989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(2)'!$B$1+1)</f>
        <v>437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(2)'!$B$1+1)</f>
        <v>129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308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Carroll County, New Hampshire</v>
      </c>
    </row>
    <row r="22" spans="1:18" x14ac:dyDescent="0.2">
      <c r="A22" s="4" t="s">
        <v>10</v>
      </c>
      <c r="B22" s="7">
        <f>+B14-B17</f>
        <v>47381</v>
      </c>
      <c r="C22" s="7">
        <f>+C14-C17</f>
        <v>21052</v>
      </c>
      <c r="D22" s="8" t="s">
        <v>18</v>
      </c>
      <c r="E22" s="7">
        <f>+E14-E17</f>
        <v>16665</v>
      </c>
      <c r="F22" s="7">
        <f>+F14-F17</f>
        <v>4387</v>
      </c>
      <c r="G22" s="14">
        <f t="shared" ref="G22:H24" si="6">+E22/$C22</f>
        <v>0.79161124833745011</v>
      </c>
      <c r="H22" s="14">
        <f t="shared" si="6"/>
        <v>0.20838875166254989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37851</v>
      </c>
      <c r="C23" s="7">
        <f>SUM(C5:C10)-C18</f>
        <v>14802</v>
      </c>
      <c r="D23" s="8" t="s">
        <v>18</v>
      </c>
      <c r="E23" s="7">
        <f>SUM(E5:E10)-E18</f>
        <v>11186</v>
      </c>
      <c r="F23" s="7">
        <f>SUM(F5:F10)-F18</f>
        <v>3616</v>
      </c>
      <c r="G23" s="14">
        <f t="shared" si="6"/>
        <v>0.75570868801513313</v>
      </c>
      <c r="H23" s="14">
        <f t="shared" si="6"/>
        <v>0.24429131198486692</v>
      </c>
      <c r="L23" t="s">
        <v>10</v>
      </c>
      <c r="M23" s="17">
        <f>SUM(M24:M27)</f>
        <v>21052</v>
      </c>
      <c r="N23" s="19">
        <f>+M23/M$23</f>
        <v>1</v>
      </c>
      <c r="O23" s="17">
        <f>SUM(O24:O27)</f>
        <v>24788.573583701094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9530</v>
      </c>
      <c r="C24" s="7">
        <f>+SUM(C11:C13)-C19</f>
        <v>6250</v>
      </c>
      <c r="D24" s="8" t="s">
        <v>18</v>
      </c>
      <c r="E24" s="7">
        <f>+SUM(E11:E13)-E19</f>
        <v>5479</v>
      </c>
      <c r="F24" s="7">
        <f>+SUM(F11:F13)-F19</f>
        <v>771</v>
      </c>
      <c r="G24" s="14">
        <f t="shared" si="6"/>
        <v>0.87663999999999997</v>
      </c>
      <c r="H24" s="14">
        <f t="shared" si="6"/>
        <v>0.12336</v>
      </c>
      <c r="L24" t="s">
        <v>88</v>
      </c>
      <c r="M24" s="17">
        <f>+SUM(E6:F6)</f>
        <v>422</v>
      </c>
      <c r="N24" s="19">
        <f>+M24/M$23</f>
        <v>2.0045601368041042E-2</v>
      </c>
      <c r="O24" s="17">
        <f>+SUM(E35:F35)</f>
        <v>351.24829257545719</v>
      </c>
      <c r="P24" s="19">
        <f>+O24/O$23</f>
        <v>1.4169766218674594E-2</v>
      </c>
      <c r="R24" s="19">
        <f>+P24-N24</f>
        <v>-5.8758351493664474E-3</v>
      </c>
    </row>
    <row r="25" spans="1:18" x14ac:dyDescent="0.2">
      <c r="L25" t="s">
        <v>89</v>
      </c>
      <c r="M25" s="17">
        <f>SUM(E7:F8)</f>
        <v>4778</v>
      </c>
      <c r="N25" s="19">
        <f>+M25/M$23</f>
        <v>0.22696180885426562</v>
      </c>
      <c r="O25" s="17">
        <f>+SUM(E36:F37)</f>
        <v>4559.2935558624567</v>
      </c>
      <c r="P25" s="19">
        <f>+O25/O$23</f>
        <v>0.18392722519783347</v>
      </c>
      <c r="R25" s="19">
        <f>+P25-N25</f>
        <v>-4.3034583656432146E-2</v>
      </c>
    </row>
    <row r="26" spans="1:18" x14ac:dyDescent="0.2">
      <c r="A26" s="3" t="s">
        <v>26</v>
      </c>
      <c r="L26" t="s">
        <v>90</v>
      </c>
      <c r="M26" s="17">
        <f>+SUM(E9:F10)</f>
        <v>9602</v>
      </c>
      <c r="N26" s="19">
        <f>+M26/M$23</f>
        <v>0.4561086832604978</v>
      </c>
      <c r="O26" s="17">
        <f>+SUM(E38:F39)</f>
        <v>8455.9172575641005</v>
      </c>
      <c r="P26" s="19">
        <f>+O26/O$23</f>
        <v>0.34112157478573146</v>
      </c>
      <c r="R26" s="19">
        <f>+P26-N26</f>
        <v>-0.11498710847476634</v>
      </c>
    </row>
    <row r="27" spans="1:18" x14ac:dyDescent="0.2">
      <c r="A27" s="4" t="s">
        <v>10</v>
      </c>
      <c r="B27" s="16">
        <f>+B22/C22</f>
        <v>2.2506650199505986</v>
      </c>
      <c r="D27" s="1"/>
      <c r="E27" t="s">
        <v>27</v>
      </c>
      <c r="L27" t="s">
        <v>91</v>
      </c>
      <c r="M27" s="17">
        <f>+SUM(E11:F13)</f>
        <v>6250</v>
      </c>
      <c r="N27" s="19">
        <f>+M27/M$23</f>
        <v>0.29688390651719554</v>
      </c>
      <c r="O27" s="17">
        <f>+SUM(E40:F42)</f>
        <v>11422.11447769908</v>
      </c>
      <c r="P27" s="19">
        <f>+O27/O$23</f>
        <v>0.46078143379776049</v>
      </c>
      <c r="R27" s="19">
        <f>+P27-N27</f>
        <v>0.16389752728056495</v>
      </c>
    </row>
    <row r="28" spans="1:18" x14ac:dyDescent="0.2">
      <c r="A28" s="4" t="s">
        <v>20</v>
      </c>
      <c r="B28" s="16">
        <f>+B23/C23</f>
        <v>2.5571544385893796</v>
      </c>
      <c r="D28" s="2"/>
      <c r="E28" t="s">
        <v>28</v>
      </c>
    </row>
    <row r="29" spans="1:18" x14ac:dyDescent="0.2">
      <c r="A29" s="4" t="s">
        <v>21</v>
      </c>
      <c r="B29" s="16">
        <f>+B24/C24</f>
        <v>1.5247999999999999</v>
      </c>
      <c r="M29" s="17">
        <f>+E14+F14</f>
        <v>21052</v>
      </c>
      <c r="O29" s="17">
        <f>+E43+F43</f>
        <v>24788.573583701091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(2)'!D1+1)</f>
        <v>2025</v>
      </c>
      <c r="C32" s="20" t="str">
        <f>+C3</f>
        <v>County:</v>
      </c>
      <c r="D32" s="23" t="str">
        <f>+D3</f>
        <v>Carroll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(2)'!$B$1+1)</f>
        <v>6307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(2)'!$B$1+1)</f>
        <v>3778</v>
      </c>
      <c r="C35" s="7">
        <f t="shared" ref="C35:C42" si="7">+B35*D35</f>
        <v>351.24829257545713</v>
      </c>
      <c r="D35" s="11">
        <f t="shared" ref="D35:D42" si="8">+D6</f>
        <v>9.2972020268781666E-2</v>
      </c>
      <c r="E35" s="7">
        <f t="shared" ref="E35:F42" si="9">+G35*$C35</f>
        <v>69.084379819343468</v>
      </c>
      <c r="F35" s="7">
        <f t="shared" si="9"/>
        <v>282.16391275611369</v>
      </c>
      <c r="G35" s="12">
        <f t="shared" ref="G35:H42" si="10">+G6</f>
        <v>0.19668246445497631</v>
      </c>
      <c r="H35" s="12">
        <f t="shared" si="10"/>
        <v>0.80331753554502372</v>
      </c>
    </row>
    <row r="36" spans="1:8" x14ac:dyDescent="0.2">
      <c r="A36" s="4" t="s">
        <v>3</v>
      </c>
      <c r="B36" s="7">
        <f>+VLOOKUP($A36,forecasts!$I$3:$T$12,'1 (2)'!$B$1+1)</f>
        <v>3861</v>
      </c>
      <c r="C36" s="7">
        <f t="shared" si="7"/>
        <v>1685.1932773109243</v>
      </c>
      <c r="D36" s="11">
        <f t="shared" si="8"/>
        <v>0.43646549528902467</v>
      </c>
      <c r="E36" s="7">
        <f t="shared" si="9"/>
        <v>831.78151260504194</v>
      </c>
      <c r="F36" s="7">
        <f t="shared" si="9"/>
        <v>853.41176470588232</v>
      </c>
      <c r="G36" s="12">
        <f t="shared" si="10"/>
        <v>0.49358226371061842</v>
      </c>
      <c r="H36" s="12">
        <f t="shared" si="10"/>
        <v>0.50641773628938158</v>
      </c>
    </row>
    <row r="37" spans="1:8" x14ac:dyDescent="0.2">
      <c r="A37" s="4" t="s">
        <v>4</v>
      </c>
      <c r="B37" s="7">
        <f>+VLOOKUP($A37,forecasts!$I$3:$T$12,'1 (2)'!$B$1+1)</f>
        <v>5388</v>
      </c>
      <c r="C37" s="7">
        <f t="shared" si="7"/>
        <v>2874.1002785515325</v>
      </c>
      <c r="D37" s="11">
        <f t="shared" si="8"/>
        <v>0.53342618384401119</v>
      </c>
      <c r="E37" s="7">
        <f t="shared" si="9"/>
        <v>2015.8098885793875</v>
      </c>
      <c r="F37" s="7">
        <f t="shared" si="9"/>
        <v>858.29038997214491</v>
      </c>
      <c r="G37" s="12">
        <f t="shared" si="10"/>
        <v>0.70137075718015662</v>
      </c>
      <c r="H37" s="12">
        <f t="shared" si="10"/>
        <v>0.29862924281984332</v>
      </c>
    </row>
    <row r="38" spans="1:8" x14ac:dyDescent="0.2">
      <c r="A38" s="4" t="s">
        <v>5</v>
      </c>
      <c r="B38" s="7">
        <f>+VLOOKUP($A38,forecasts!$I$3:$T$12,'1 (2)'!$B$1+1)</f>
        <v>5633</v>
      </c>
      <c r="C38" s="7">
        <f t="shared" si="7"/>
        <v>3218.3751048280815</v>
      </c>
      <c r="D38" s="11">
        <f t="shared" si="8"/>
        <v>0.57134299748412598</v>
      </c>
      <c r="E38" s="7">
        <f t="shared" si="9"/>
        <v>2608.982628489277</v>
      </c>
      <c r="F38" s="7">
        <f t="shared" si="9"/>
        <v>609.39247633880427</v>
      </c>
      <c r="G38" s="12">
        <f t="shared" si="10"/>
        <v>0.81065212832879008</v>
      </c>
      <c r="H38" s="12">
        <f t="shared" si="10"/>
        <v>0.18934787167120989</v>
      </c>
    </row>
    <row r="39" spans="1:8" x14ac:dyDescent="0.2">
      <c r="A39" s="4" t="s">
        <v>6</v>
      </c>
      <c r="B39" s="7">
        <f>+VLOOKUP($A39,forecasts!$I$3:$T$12,'1 (2)'!$B$1+1)</f>
        <v>9011</v>
      </c>
      <c r="C39" s="7">
        <f t="shared" si="7"/>
        <v>5237.5421527360195</v>
      </c>
      <c r="D39" s="11">
        <f t="shared" si="8"/>
        <v>0.58123872519542996</v>
      </c>
      <c r="E39" s="7">
        <f t="shared" si="9"/>
        <v>4597.0730006013227</v>
      </c>
      <c r="F39" s="7">
        <f t="shared" si="9"/>
        <v>640.46915213469629</v>
      </c>
      <c r="G39" s="12">
        <f t="shared" si="10"/>
        <v>0.87771570453134695</v>
      </c>
      <c r="H39" s="12">
        <f t="shared" si="10"/>
        <v>0.12228429546865301</v>
      </c>
    </row>
    <row r="40" spans="1:8" x14ac:dyDescent="0.2">
      <c r="A40" s="4" t="s">
        <v>7</v>
      </c>
      <c r="B40" s="7">
        <f>+VLOOKUP($A40,forecasts!$I$3:$T$12,'1 (2)'!$B$1+1)</f>
        <v>10029</v>
      </c>
      <c r="C40" s="7">
        <f t="shared" si="7"/>
        <v>6209.9071207430343</v>
      </c>
      <c r="D40" s="11">
        <f t="shared" si="8"/>
        <v>0.61919504643962853</v>
      </c>
      <c r="E40" s="7">
        <f t="shared" si="9"/>
        <v>5596.2221817519576</v>
      </c>
      <c r="F40" s="7">
        <f t="shared" si="9"/>
        <v>613.68493899107625</v>
      </c>
      <c r="G40" s="12">
        <f t="shared" si="10"/>
        <v>0.90117647058823525</v>
      </c>
      <c r="H40" s="12">
        <f t="shared" si="10"/>
        <v>9.8823529411764699E-2</v>
      </c>
    </row>
    <row r="41" spans="1:8" x14ac:dyDescent="0.2">
      <c r="A41" s="4" t="s">
        <v>8</v>
      </c>
      <c r="B41" s="7">
        <f>+VLOOKUP($A41,forecasts!$I$3:$T$12,'1 (2)'!$B$1+1)</f>
        <v>5913</v>
      </c>
      <c r="C41" s="7">
        <f t="shared" si="7"/>
        <v>3958.8782112274021</v>
      </c>
      <c r="D41" s="11">
        <f t="shared" si="8"/>
        <v>0.66952109102442114</v>
      </c>
      <c r="E41" s="7">
        <f t="shared" si="9"/>
        <v>3416.9000951474782</v>
      </c>
      <c r="F41" s="7">
        <f t="shared" si="9"/>
        <v>541.97811607992389</v>
      </c>
      <c r="G41" s="12">
        <f t="shared" si="10"/>
        <v>0.86309805779251536</v>
      </c>
      <c r="H41" s="12">
        <f t="shared" si="10"/>
        <v>0.13690194220748461</v>
      </c>
    </row>
    <row r="42" spans="1:8" x14ac:dyDescent="0.2">
      <c r="A42" s="4" t="s">
        <v>70</v>
      </c>
      <c r="B42" s="7">
        <f>+VLOOKUP($A42,forecasts!$I$3:$T$12,'1 (2)'!$B$1+1)</f>
        <v>2025</v>
      </c>
      <c r="C42" s="7">
        <f t="shared" si="7"/>
        <v>1253.3291457286432</v>
      </c>
      <c r="D42" s="11">
        <f t="shared" si="8"/>
        <v>0.61892797319933002</v>
      </c>
      <c r="E42" s="7">
        <f t="shared" si="9"/>
        <v>1005.71608040201</v>
      </c>
      <c r="F42" s="7">
        <f t="shared" si="9"/>
        <v>247.61306532663318</v>
      </c>
      <c r="G42" s="12">
        <f t="shared" si="10"/>
        <v>0.80243572395128548</v>
      </c>
      <c r="H42" s="12">
        <f t="shared" si="10"/>
        <v>0.19756427604871449</v>
      </c>
    </row>
    <row r="43" spans="1:8" x14ac:dyDescent="0.2">
      <c r="A43" s="4" t="s">
        <v>10</v>
      </c>
      <c r="B43" s="7">
        <f>SUM(B34:B42)</f>
        <v>51945</v>
      </c>
      <c r="C43" s="7">
        <f>SUM(C34:C42)</f>
        <v>24788.573583701094</v>
      </c>
      <c r="D43" s="13">
        <f>+C43/B43</f>
        <v>0.47720807746079691</v>
      </c>
      <c r="E43" s="7">
        <f>SUM(E34:E42)</f>
        <v>20141.569767395817</v>
      </c>
      <c r="F43" s="7">
        <f>SUM(F34:F42)</f>
        <v>4647.0038163052741</v>
      </c>
      <c r="G43" s="14">
        <f>+E43/$C43</f>
        <v>0.81253444049072832</v>
      </c>
      <c r="H43" s="14">
        <f>+F43/$C43</f>
        <v>0.18746555950927155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637.98629077624457</v>
      </c>
    </row>
    <row r="47" spans="1:8" x14ac:dyDescent="0.2">
      <c r="A47" s="4" t="s">
        <v>20</v>
      </c>
      <c r="B47" s="7">
        <f>+B18*(SUM(B35:B39)/SUM(B6:B10))</f>
        <v>115.62448173101839</v>
      </c>
      <c r="D47" t="s">
        <v>30</v>
      </c>
    </row>
    <row r="48" spans="1:8" x14ac:dyDescent="0.2">
      <c r="A48" s="4" t="s">
        <v>21</v>
      </c>
      <c r="B48" s="7">
        <f>+B19*(B42/B13)</f>
        <v>522.36180904522621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51307.013709223756</v>
      </c>
      <c r="C51" s="7">
        <f>+C43-C46</f>
        <v>24788.573583701094</v>
      </c>
      <c r="D51" s="8" t="s">
        <v>18</v>
      </c>
      <c r="E51" s="7">
        <f>+E43-E46</f>
        <v>20141.569767395817</v>
      </c>
      <c r="F51" s="7">
        <f>+F43-F46</f>
        <v>4647.0038163052741</v>
      </c>
      <c r="G51" s="14">
        <f t="shared" ref="G51:H53" si="11">+E51/$C51</f>
        <v>0.81253444049072832</v>
      </c>
      <c r="H51" s="14">
        <f t="shared" si="11"/>
        <v>0.18746555950927155</v>
      </c>
    </row>
    <row r="52" spans="1:8" x14ac:dyDescent="0.2">
      <c r="A52" s="4" t="s">
        <v>20</v>
      </c>
      <c r="B52" s="7">
        <f>SUM(B34:B39)-B47</f>
        <v>33862.375518268978</v>
      </c>
      <c r="C52" s="7">
        <f>SUM(C34:C39)-C47</f>
        <v>13366.459106002014</v>
      </c>
      <c r="D52" s="8" t="s">
        <v>18</v>
      </c>
      <c r="E52" s="7">
        <f>SUM(E34:E39)-E47</f>
        <v>10122.731410094373</v>
      </c>
      <c r="F52" s="7">
        <f>SUM(F34:F39)-F47</f>
        <v>3243.7276959076412</v>
      </c>
      <c r="G52" s="14">
        <f t="shared" si="11"/>
        <v>0.7573233367054486</v>
      </c>
      <c r="H52" s="14">
        <f t="shared" si="11"/>
        <v>0.2426766632945514</v>
      </c>
    </row>
    <row r="53" spans="1:8" x14ac:dyDescent="0.2">
      <c r="A53" s="4" t="s">
        <v>21</v>
      </c>
      <c r="B53" s="7">
        <f>+SUM(B40:B42)-B48</f>
        <v>17444.638190954774</v>
      </c>
      <c r="C53" s="7">
        <f>+SUM(C40:C42)-C48</f>
        <v>11422.11447769908</v>
      </c>
      <c r="D53" s="8" t="s">
        <v>18</v>
      </c>
      <c r="E53" s="7">
        <f>+SUM(E40:E42)-E48</f>
        <v>10018.838357301445</v>
      </c>
      <c r="F53" s="7">
        <f>+SUM(F40:F42)-F48</f>
        <v>1403.2761203976333</v>
      </c>
      <c r="G53" s="14">
        <f t="shared" si="11"/>
        <v>0.87714392784825979</v>
      </c>
      <c r="H53" s="14">
        <f t="shared" si="11"/>
        <v>0.12285607215174009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2.0697848359842288</v>
      </c>
      <c r="D56" s="1"/>
      <c r="E56" t="s">
        <v>27</v>
      </c>
    </row>
    <row r="57" spans="1:8" x14ac:dyDescent="0.2">
      <c r="A57" s="4" t="s">
        <v>20</v>
      </c>
      <c r="B57" s="16">
        <f>+B52/C52</f>
        <v>2.5333841408352922</v>
      </c>
      <c r="D57" s="2"/>
      <c r="E57" t="s">
        <v>28</v>
      </c>
    </row>
    <row r="58" spans="1:8" x14ac:dyDescent="0.2">
      <c r="A58" s="4" t="s">
        <v>21</v>
      </c>
      <c r="B58" s="16">
        <f>+B53/C53</f>
        <v>1.5272687228808879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3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(3)'!B1+1)</f>
        <v>Cheshire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(3)'!$B$1+1)</f>
        <v>12192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(3)'!$B$1+1)</f>
        <v>13584</v>
      </c>
      <c r="C6" s="7">
        <f t="shared" ref="C6:C13" si="0">+E6+F6</f>
        <v>1500</v>
      </c>
      <c r="D6" s="11">
        <f t="shared" ref="D6:D14" si="1">+C6/B6</f>
        <v>0.11042402826855123</v>
      </c>
      <c r="E6" s="7">
        <f>+VLOOKUP($A6,DataSets!$A$41:$L$49,'1 (3)'!$B$1+1)</f>
        <v>158</v>
      </c>
      <c r="F6" s="7">
        <f>+VLOOKUP($A6,DataSets!$A$65:$L$73,'1 (3)'!$B$1+1)</f>
        <v>1342</v>
      </c>
      <c r="G6" s="12">
        <f t="shared" ref="G6:G14" si="2">+E6/$C6</f>
        <v>0.10533333333333333</v>
      </c>
      <c r="H6" s="12">
        <f t="shared" ref="H6:H14" si="3">+F6/$C6</f>
        <v>0.89466666666666672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(3)'!$B$1+1)</f>
        <v>7872</v>
      </c>
      <c r="C7" s="7">
        <f t="shared" si="0"/>
        <v>3481</v>
      </c>
      <c r="D7" s="11">
        <f t="shared" si="1"/>
        <v>0.44220020325203252</v>
      </c>
      <c r="E7" s="7">
        <f>+VLOOKUP($A7,DataSets!$A$41:$L$49,'1 (3)'!$B$1+1)</f>
        <v>1563</v>
      </c>
      <c r="F7" s="7">
        <f>+VLOOKUP($A7,DataSets!$A$65:$L$73,'1 (3)'!$B$1+1)</f>
        <v>1918</v>
      </c>
      <c r="G7" s="12">
        <f t="shared" si="2"/>
        <v>0.44900890548692907</v>
      </c>
      <c r="H7" s="12">
        <f t="shared" si="3"/>
        <v>0.55099109451307093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(3)'!$B$1+1)</f>
        <v>9224</v>
      </c>
      <c r="C8" s="7">
        <f t="shared" si="0"/>
        <v>4860</v>
      </c>
      <c r="D8" s="11">
        <f t="shared" si="1"/>
        <v>0.52688638334778837</v>
      </c>
      <c r="E8" s="7">
        <f>+VLOOKUP($A8,DataSets!$A$41:$L$49,'1 (3)'!$B$1+1)</f>
        <v>3364</v>
      </c>
      <c r="F8" s="7">
        <f>+VLOOKUP($A8,DataSets!$A$65:$L$73,'1 (3)'!$B$1+1)</f>
        <v>1496</v>
      </c>
      <c r="G8" s="12">
        <f t="shared" si="2"/>
        <v>0.69218106995884776</v>
      </c>
      <c r="H8" s="12">
        <f t="shared" si="3"/>
        <v>0.30781893004115224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(3)'!$B$1+1)</f>
        <v>12040</v>
      </c>
      <c r="C9" s="7">
        <f t="shared" si="0"/>
        <v>6730</v>
      </c>
      <c r="D9" s="11">
        <f t="shared" si="1"/>
        <v>0.55897009966777411</v>
      </c>
      <c r="E9" s="7">
        <f>+VLOOKUP($A9,DataSets!$A$41:$L$49,'1 (3)'!$B$1+1)</f>
        <v>5203</v>
      </c>
      <c r="F9" s="7">
        <f>+VLOOKUP($A9,DataSets!$A$65:$L$73,'1 (3)'!$B$1+1)</f>
        <v>1527</v>
      </c>
      <c r="G9" s="12">
        <f t="shared" si="2"/>
        <v>0.77310549777117388</v>
      </c>
      <c r="H9" s="12">
        <f t="shared" si="3"/>
        <v>0.22689450222882615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(3)'!$B$1+1)</f>
        <v>10863</v>
      </c>
      <c r="C10" s="7">
        <f t="shared" si="0"/>
        <v>6368</v>
      </c>
      <c r="D10" s="11">
        <f t="shared" si="1"/>
        <v>0.58621007088281318</v>
      </c>
      <c r="E10" s="7">
        <f>+VLOOKUP($A10,DataSets!$A$41:$L$49,'1 (3)'!$B$1+1)</f>
        <v>5233</v>
      </c>
      <c r="F10" s="7">
        <f>+VLOOKUP($A10,DataSets!$A$65:$L$73,'1 (3)'!$B$1+1)</f>
        <v>1135</v>
      </c>
      <c r="G10" s="12">
        <f t="shared" si="2"/>
        <v>0.82176507537688437</v>
      </c>
      <c r="H10" s="12">
        <f t="shared" si="3"/>
        <v>0.17823492462311558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(3)'!$B$1+1)</f>
        <v>6086</v>
      </c>
      <c r="C11" s="7">
        <f t="shared" si="0"/>
        <v>3815</v>
      </c>
      <c r="D11" s="11">
        <f t="shared" si="1"/>
        <v>0.62684850476503451</v>
      </c>
      <c r="E11" s="7">
        <f>+VLOOKUP($A11,DataSets!$A$41:$L$49,'1 (3)'!$B$1+1)</f>
        <v>3172</v>
      </c>
      <c r="F11" s="7">
        <f>+VLOOKUP($A11,DataSets!$A$65:$L$73,'1 (3)'!$B$1+1)</f>
        <v>643</v>
      </c>
      <c r="G11" s="12">
        <f t="shared" si="2"/>
        <v>0.83145478374836168</v>
      </c>
      <c r="H11" s="12">
        <f t="shared" si="3"/>
        <v>0.16854521625163826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(3)'!$B$1+1)</f>
        <v>3744</v>
      </c>
      <c r="C12" s="7">
        <f t="shared" si="0"/>
        <v>2485</v>
      </c>
      <c r="D12" s="11">
        <f t="shared" si="1"/>
        <v>0.66372863247863245</v>
      </c>
      <c r="E12" s="7">
        <f>+VLOOKUP($A12,DataSets!$A$41:$L$49,'1 (3)'!$B$1+1)</f>
        <v>1864</v>
      </c>
      <c r="F12" s="7">
        <f>+VLOOKUP($A12,DataSets!$A$65:$L$73,'1 (3)'!$B$1+1)</f>
        <v>621</v>
      </c>
      <c r="G12" s="12">
        <f t="shared" si="2"/>
        <v>0.75010060362173037</v>
      </c>
      <c r="H12" s="12">
        <f t="shared" si="3"/>
        <v>0.24989939637826961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(3)'!$B$1+1)</f>
        <v>1512</v>
      </c>
      <c r="C13" s="7">
        <f t="shared" si="0"/>
        <v>965</v>
      </c>
      <c r="D13" s="11">
        <f t="shared" si="1"/>
        <v>0.63822751322751325</v>
      </c>
      <c r="E13" s="7">
        <f>+VLOOKUP($A13,DataSets!$A$41:$L$49,'1 (3)'!$B$1+1)</f>
        <v>591</v>
      </c>
      <c r="F13" s="7">
        <f>+VLOOKUP($A13,DataSets!$A$65:$L$73,'1 (3)'!$B$1+1)</f>
        <v>374</v>
      </c>
      <c r="G13" s="12">
        <f t="shared" si="2"/>
        <v>0.61243523316062176</v>
      </c>
      <c r="H13" s="12">
        <f t="shared" si="3"/>
        <v>0.38756476683937824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77117</v>
      </c>
      <c r="C14" s="7">
        <f>SUM(C5:C13)</f>
        <v>30204</v>
      </c>
      <c r="D14" s="13">
        <f t="shared" si="1"/>
        <v>0.39166461350934295</v>
      </c>
      <c r="E14" s="7">
        <f>SUM(E5:E13)</f>
        <v>21148</v>
      </c>
      <c r="F14" s="7">
        <f>SUM(F5:F13)</f>
        <v>9056</v>
      </c>
      <c r="G14" s="14">
        <f t="shared" si="2"/>
        <v>0.70017216262746651</v>
      </c>
      <c r="H14" s="14">
        <f t="shared" si="3"/>
        <v>0.29982783737253343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(3)'!$B$1+1)</f>
        <v>4627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(3)'!$B$1+1)</f>
        <v>4196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431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Cheshire County, New Hampshire</v>
      </c>
    </row>
    <row r="22" spans="1:18" x14ac:dyDescent="0.2">
      <c r="A22" s="4" t="s">
        <v>10</v>
      </c>
      <c r="B22" s="7">
        <f>+B14-B17</f>
        <v>72490</v>
      </c>
      <c r="C22" s="7">
        <f>+C14-C17</f>
        <v>30204</v>
      </c>
      <c r="D22" s="8" t="s">
        <v>18</v>
      </c>
      <c r="E22" s="7">
        <f>+E14-E17</f>
        <v>21148</v>
      </c>
      <c r="F22" s="7">
        <f>+F14-F17</f>
        <v>9056</v>
      </c>
      <c r="G22" s="14">
        <f t="shared" ref="G22:H24" si="6">+E22/$C22</f>
        <v>0.70017216262746651</v>
      </c>
      <c r="H22" s="14">
        <f t="shared" si="6"/>
        <v>0.29982783737253343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61579</v>
      </c>
      <c r="C23" s="7">
        <f>SUM(C5:C10)-C18</f>
        <v>22939</v>
      </c>
      <c r="D23" s="8" t="s">
        <v>18</v>
      </c>
      <c r="E23" s="7">
        <f>SUM(E5:E10)-E18</f>
        <v>15521</v>
      </c>
      <c r="F23" s="7">
        <f>SUM(F5:F10)-F18</f>
        <v>7418</v>
      </c>
      <c r="G23" s="14">
        <f t="shared" si="6"/>
        <v>0.67662060246741362</v>
      </c>
      <c r="H23" s="14">
        <f t="shared" si="6"/>
        <v>0.32337939753258643</v>
      </c>
      <c r="L23" t="s">
        <v>10</v>
      </c>
      <c r="M23" s="17">
        <f>SUM(M24:M27)</f>
        <v>30204</v>
      </c>
      <c r="N23" s="19">
        <f>+M23/M$23</f>
        <v>1</v>
      </c>
      <c r="O23" s="17">
        <f>SUM(O24:O27)</f>
        <v>32778.408291280139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10911</v>
      </c>
      <c r="C24" s="7">
        <f>+SUM(C11:C13)-C19</f>
        <v>7265</v>
      </c>
      <c r="D24" s="8" t="s">
        <v>18</v>
      </c>
      <c r="E24" s="7">
        <f>+SUM(E11:E13)-E19</f>
        <v>5627</v>
      </c>
      <c r="F24" s="7">
        <f>+SUM(F11:F13)-F19</f>
        <v>1638</v>
      </c>
      <c r="G24" s="14">
        <f t="shared" si="6"/>
        <v>0.77453544390915352</v>
      </c>
      <c r="H24" s="14">
        <f t="shared" si="6"/>
        <v>0.22546455609084654</v>
      </c>
      <c r="L24" t="s">
        <v>88</v>
      </c>
      <c r="M24" s="17">
        <f>+SUM(E6:F6)</f>
        <v>1500</v>
      </c>
      <c r="N24" s="19">
        <f>+M24/M$23</f>
        <v>4.9662296384584824E-2</v>
      </c>
      <c r="O24" s="17">
        <f>+SUM(E35:F35)</f>
        <v>1237.5220848056538</v>
      </c>
      <c r="P24" s="19">
        <f>+O24/O$23</f>
        <v>3.7754184822173471E-2</v>
      </c>
      <c r="R24" s="19">
        <f>+P24-N24</f>
        <v>-1.1908111562411353E-2</v>
      </c>
    </row>
    <row r="25" spans="1:18" x14ac:dyDescent="0.2">
      <c r="L25" t="s">
        <v>89</v>
      </c>
      <c r="M25" s="17">
        <f>SUM(E7:F8)</f>
        <v>8341</v>
      </c>
      <c r="N25" s="19">
        <f>+M25/M$23</f>
        <v>0.27615547609588131</v>
      </c>
      <c r="O25" s="17">
        <f>+SUM(E36:F37)</f>
        <v>9342.6871768548299</v>
      </c>
      <c r="P25" s="19">
        <f>+O25/O$23</f>
        <v>0.2850256514542292</v>
      </c>
      <c r="R25" s="19">
        <f>+P25-N25</f>
        <v>8.8701753583478871E-3</v>
      </c>
    </row>
    <row r="26" spans="1:18" x14ac:dyDescent="0.2">
      <c r="A26" s="3" t="s">
        <v>26</v>
      </c>
      <c r="L26" t="s">
        <v>90</v>
      </c>
      <c r="M26" s="17">
        <f>+SUM(E9:F10)</f>
        <v>13098</v>
      </c>
      <c r="N26" s="19">
        <f>+M26/M$23</f>
        <v>0.43365117203019465</v>
      </c>
      <c r="O26" s="17">
        <f>+SUM(E38:F39)</f>
        <v>10497.811848978045</v>
      </c>
      <c r="P26" s="19">
        <f>+O26/O$23</f>
        <v>0.32026606526134216</v>
      </c>
      <c r="R26" s="19">
        <f>+P26-N26</f>
        <v>-0.11338510676885249</v>
      </c>
    </row>
    <row r="27" spans="1:18" x14ac:dyDescent="0.2">
      <c r="A27" s="4" t="s">
        <v>10</v>
      </c>
      <c r="B27" s="16">
        <f>+B22/C22</f>
        <v>2.400013243279036</v>
      </c>
      <c r="D27" s="1"/>
      <c r="E27" t="s">
        <v>27</v>
      </c>
      <c r="L27" t="s">
        <v>91</v>
      </c>
      <c r="M27" s="17">
        <f>+SUM(E11:F13)</f>
        <v>7265</v>
      </c>
      <c r="N27" s="19">
        <f>+M27/M$23</f>
        <v>0.24053105548933917</v>
      </c>
      <c r="O27" s="17">
        <f>+SUM(E40:F42)</f>
        <v>11700.387180641606</v>
      </c>
      <c r="P27" s="19">
        <f>+O27/O$23</f>
        <v>0.35695409846225501</v>
      </c>
      <c r="R27" s="19">
        <f>+P27-N27</f>
        <v>0.11642304297291584</v>
      </c>
    </row>
    <row r="28" spans="1:18" x14ac:dyDescent="0.2">
      <c r="A28" s="4" t="s">
        <v>20</v>
      </c>
      <c r="B28" s="16">
        <f>+B23/C23</f>
        <v>2.6844675007628931</v>
      </c>
      <c r="D28" s="2"/>
      <c r="E28" t="s">
        <v>28</v>
      </c>
    </row>
    <row r="29" spans="1:18" x14ac:dyDescent="0.2">
      <c r="A29" s="4" t="s">
        <v>21</v>
      </c>
      <c r="B29" s="16">
        <f>+B24/C24</f>
        <v>1.501858224363386</v>
      </c>
      <c r="M29" s="17">
        <f>+E14+F14</f>
        <v>30204</v>
      </c>
      <c r="O29" s="17">
        <f>+E43+F43</f>
        <v>32778.408291280139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(3)'!D1+1)</f>
        <v>2025</v>
      </c>
      <c r="C32" s="20" t="str">
        <f>+C3</f>
        <v>County:</v>
      </c>
      <c r="D32" s="23" t="str">
        <f>+D3</f>
        <v>Cheshire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(3)'!$B$1+1)</f>
        <v>12150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(3)'!$B$1+1)</f>
        <v>11207</v>
      </c>
      <c r="C35" s="7">
        <f t="shared" ref="C35:C42" si="7">+B35*D35</f>
        <v>1237.5220848056535</v>
      </c>
      <c r="D35" s="11">
        <f t="shared" ref="D35:D42" si="8">+D6</f>
        <v>0.11042402826855123</v>
      </c>
      <c r="E35" s="7">
        <f t="shared" ref="E35:F42" si="9">+G35*$C35</f>
        <v>130.35232626619552</v>
      </c>
      <c r="F35" s="7">
        <f t="shared" si="9"/>
        <v>1107.1697585394581</v>
      </c>
      <c r="G35" s="12">
        <f t="shared" ref="G35:H42" si="10">+G6</f>
        <v>0.10533333333333333</v>
      </c>
      <c r="H35" s="12">
        <f t="shared" si="10"/>
        <v>0.89466666666666672</v>
      </c>
    </row>
    <row r="36" spans="1:8" x14ac:dyDescent="0.2">
      <c r="A36" s="4" t="s">
        <v>3</v>
      </c>
      <c r="B36" s="7">
        <f>+VLOOKUP($A36,forecasts!$I$3:$T$12,'1 (3)'!$B$1+1)</f>
        <v>8935</v>
      </c>
      <c r="C36" s="7">
        <f t="shared" si="7"/>
        <v>3951.0588160569105</v>
      </c>
      <c r="D36" s="11">
        <f t="shared" si="8"/>
        <v>0.44220020325203252</v>
      </c>
      <c r="E36" s="7">
        <f t="shared" si="9"/>
        <v>1774.0605945121952</v>
      </c>
      <c r="F36" s="7">
        <f t="shared" si="9"/>
        <v>2176.9982215447153</v>
      </c>
      <c r="G36" s="12">
        <f t="shared" si="10"/>
        <v>0.44900890548692907</v>
      </c>
      <c r="H36" s="12">
        <f t="shared" si="10"/>
        <v>0.55099109451307093</v>
      </c>
    </row>
    <row r="37" spans="1:8" x14ac:dyDescent="0.2">
      <c r="A37" s="4" t="s">
        <v>4</v>
      </c>
      <c r="B37" s="7">
        <f>+VLOOKUP($A37,forecasts!$I$3:$T$12,'1 (3)'!$B$1+1)</f>
        <v>10233</v>
      </c>
      <c r="C37" s="7">
        <f t="shared" si="7"/>
        <v>5391.6283607979185</v>
      </c>
      <c r="D37" s="11">
        <f t="shared" si="8"/>
        <v>0.52688638334778837</v>
      </c>
      <c r="E37" s="7">
        <f t="shared" si="9"/>
        <v>3731.9830875975717</v>
      </c>
      <c r="F37" s="7">
        <f t="shared" si="9"/>
        <v>1659.6452732003468</v>
      </c>
      <c r="G37" s="12">
        <f t="shared" si="10"/>
        <v>0.69218106995884776</v>
      </c>
      <c r="H37" s="12">
        <f t="shared" si="10"/>
        <v>0.30781893004115224</v>
      </c>
    </row>
    <row r="38" spans="1:8" x14ac:dyDescent="0.2">
      <c r="A38" s="4" t="s">
        <v>5</v>
      </c>
      <c r="B38" s="7">
        <f>+VLOOKUP($A38,forecasts!$I$3:$T$12,'1 (3)'!$B$1+1)</f>
        <v>8093</v>
      </c>
      <c r="C38" s="7">
        <f t="shared" si="7"/>
        <v>4523.7450166112958</v>
      </c>
      <c r="D38" s="11">
        <f t="shared" si="8"/>
        <v>0.55897009966777411</v>
      </c>
      <c r="E38" s="7">
        <f t="shared" si="9"/>
        <v>3497.332142857143</v>
      </c>
      <c r="F38" s="7">
        <f t="shared" si="9"/>
        <v>1026.4128737541528</v>
      </c>
      <c r="G38" s="12">
        <f t="shared" si="10"/>
        <v>0.77310549777117388</v>
      </c>
      <c r="H38" s="12">
        <f t="shared" si="10"/>
        <v>0.22689450222882615</v>
      </c>
    </row>
    <row r="39" spans="1:8" x14ac:dyDescent="0.2">
      <c r="A39" s="4" t="s">
        <v>6</v>
      </c>
      <c r="B39" s="7">
        <f>+VLOOKUP($A39,forecasts!$I$3:$T$12,'1 (3)'!$B$1+1)</f>
        <v>10191</v>
      </c>
      <c r="C39" s="7">
        <f t="shared" si="7"/>
        <v>5974.0668323667487</v>
      </c>
      <c r="D39" s="11">
        <f t="shared" si="8"/>
        <v>0.58621007088281318</v>
      </c>
      <c r="E39" s="7">
        <f t="shared" si="9"/>
        <v>4909.2794808064064</v>
      </c>
      <c r="F39" s="7">
        <f t="shared" si="9"/>
        <v>1064.7873515603424</v>
      </c>
      <c r="G39" s="12">
        <f t="shared" si="10"/>
        <v>0.82176507537688437</v>
      </c>
      <c r="H39" s="12">
        <f t="shared" si="10"/>
        <v>0.17823492462311558</v>
      </c>
    </row>
    <row r="40" spans="1:8" x14ac:dyDescent="0.2">
      <c r="A40" s="4" t="s">
        <v>7</v>
      </c>
      <c r="B40" s="7">
        <f>+VLOOKUP($A40,forecasts!$I$3:$T$12,'1 (3)'!$B$1+1)</f>
        <v>10277</v>
      </c>
      <c r="C40" s="7">
        <f t="shared" si="7"/>
        <v>6442.1220834702599</v>
      </c>
      <c r="D40" s="11">
        <f t="shared" si="8"/>
        <v>0.62684850476503451</v>
      </c>
      <c r="E40" s="7">
        <f t="shared" si="9"/>
        <v>5356.3332237923105</v>
      </c>
      <c r="F40" s="7">
        <f t="shared" si="9"/>
        <v>1085.7888596779494</v>
      </c>
      <c r="G40" s="12">
        <f t="shared" si="10"/>
        <v>0.83145478374836168</v>
      </c>
      <c r="H40" s="12">
        <f t="shared" si="10"/>
        <v>0.16854521625163826</v>
      </c>
    </row>
    <row r="41" spans="1:8" x14ac:dyDescent="0.2">
      <c r="A41" s="4" t="s">
        <v>8</v>
      </c>
      <c r="B41" s="7">
        <f>+VLOOKUP($A41,forecasts!$I$3:$T$12,'1 (3)'!$B$1+1)</f>
        <v>6003</v>
      </c>
      <c r="C41" s="7">
        <f t="shared" si="7"/>
        <v>3984.3629807692305</v>
      </c>
      <c r="D41" s="11">
        <f t="shared" si="8"/>
        <v>0.66372863247863245</v>
      </c>
      <c r="E41" s="7">
        <f t="shared" si="9"/>
        <v>2988.6730769230767</v>
      </c>
      <c r="F41" s="7">
        <f t="shared" si="9"/>
        <v>995.6899038461537</v>
      </c>
      <c r="G41" s="12">
        <f t="shared" si="10"/>
        <v>0.75010060362173037</v>
      </c>
      <c r="H41" s="12">
        <f t="shared" si="10"/>
        <v>0.24989939637826961</v>
      </c>
    </row>
    <row r="42" spans="1:8" x14ac:dyDescent="0.2">
      <c r="A42" s="4" t="s">
        <v>70</v>
      </c>
      <c r="B42" s="7">
        <f>+VLOOKUP($A42,forecasts!$I$3:$T$12,'1 (3)'!$B$1+1)</f>
        <v>1996</v>
      </c>
      <c r="C42" s="7">
        <f t="shared" si="7"/>
        <v>1273.9021164021165</v>
      </c>
      <c r="D42" s="11">
        <f t="shared" si="8"/>
        <v>0.63822751322751325</v>
      </c>
      <c r="E42" s="7">
        <f t="shared" si="9"/>
        <v>780.18253968253975</v>
      </c>
      <c r="F42" s="7">
        <f t="shared" si="9"/>
        <v>493.71957671957676</v>
      </c>
      <c r="G42" s="12">
        <f t="shared" si="10"/>
        <v>0.61243523316062176</v>
      </c>
      <c r="H42" s="12">
        <f t="shared" si="10"/>
        <v>0.38756476683937824</v>
      </c>
    </row>
    <row r="43" spans="1:8" x14ac:dyDescent="0.2">
      <c r="A43" s="4" t="s">
        <v>10</v>
      </c>
      <c r="B43" s="7">
        <f>SUM(B34:B42)</f>
        <v>79085</v>
      </c>
      <c r="C43" s="7">
        <f>SUM(C34:C42)</f>
        <v>32778.408291280131</v>
      </c>
      <c r="D43" s="13">
        <f>+C43/B43</f>
        <v>0.41447061125725654</v>
      </c>
      <c r="E43" s="7">
        <f>SUM(E34:E42)</f>
        <v>23168.196472437441</v>
      </c>
      <c r="F43" s="7">
        <f>SUM(F34:F42)</f>
        <v>9610.2118188426957</v>
      </c>
      <c r="G43" s="14">
        <f>+E43/$C43</f>
        <v>0.70681273680396361</v>
      </c>
      <c r="H43" s="14">
        <f>+F43/$C43</f>
        <v>0.29318726319603661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4379.3749547134857</v>
      </c>
    </row>
    <row r="47" spans="1:8" x14ac:dyDescent="0.2">
      <c r="A47" s="4" t="s">
        <v>20</v>
      </c>
      <c r="B47" s="7">
        <f>+B18*(SUM(B35:B39)/SUM(B6:B10))</f>
        <v>3810.4093462478772</v>
      </c>
      <c r="D47" t="s">
        <v>30</v>
      </c>
    </row>
    <row r="48" spans="1:8" x14ac:dyDescent="0.2">
      <c r="A48" s="4" t="s">
        <v>21</v>
      </c>
      <c r="B48" s="7">
        <f>+B19*(B42/B13)</f>
        <v>568.9656084656084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74705.625045286521</v>
      </c>
      <c r="C51" s="7">
        <f>+C43-C46</f>
        <v>32778.408291280131</v>
      </c>
      <c r="D51" s="8" t="s">
        <v>18</v>
      </c>
      <c r="E51" s="7">
        <f>+E43-E46</f>
        <v>23168.196472437441</v>
      </c>
      <c r="F51" s="7">
        <f>+F43-F46</f>
        <v>9610.2118188426957</v>
      </c>
      <c r="G51" s="14">
        <f t="shared" ref="G51:H53" si="11">+E51/$C51</f>
        <v>0.70681273680396361</v>
      </c>
      <c r="H51" s="14">
        <f t="shared" si="11"/>
        <v>0.29318726319603661</v>
      </c>
    </row>
    <row r="52" spans="1:8" x14ac:dyDescent="0.2">
      <c r="A52" s="4" t="s">
        <v>20</v>
      </c>
      <c r="B52" s="7">
        <f>SUM(B34:B39)-B47</f>
        <v>56998.590653752122</v>
      </c>
      <c r="C52" s="7">
        <f>SUM(C34:C39)-C47</f>
        <v>21078.021110638525</v>
      </c>
      <c r="D52" s="8" t="s">
        <v>18</v>
      </c>
      <c r="E52" s="7">
        <f>SUM(E34:E39)-E47</f>
        <v>14043.007632039513</v>
      </c>
      <c r="F52" s="7">
        <f>SUM(F34:F39)-F47</f>
        <v>7035.0134785990158</v>
      </c>
      <c r="G52" s="14">
        <f t="shared" si="11"/>
        <v>0.66623937599871308</v>
      </c>
      <c r="H52" s="14">
        <f t="shared" si="11"/>
        <v>0.33376062400128703</v>
      </c>
    </row>
    <row r="53" spans="1:8" x14ac:dyDescent="0.2">
      <c r="A53" s="4" t="s">
        <v>21</v>
      </c>
      <c r="B53" s="7">
        <f>+SUM(B40:B42)-B48</f>
        <v>17707.034391534391</v>
      </c>
      <c r="C53" s="7">
        <f>+SUM(C40:C42)-C48</f>
        <v>11700.387180641606</v>
      </c>
      <c r="D53" s="8" t="s">
        <v>18</v>
      </c>
      <c r="E53" s="7">
        <f>+SUM(E40:E42)-E48</f>
        <v>9125.1888403979283</v>
      </c>
      <c r="F53" s="7">
        <f>+SUM(F40:F42)-F48</f>
        <v>2575.1983402436799</v>
      </c>
      <c r="G53" s="14">
        <f t="shared" si="11"/>
        <v>0.77990486122507408</v>
      </c>
      <c r="H53" s="14">
        <f t="shared" si="11"/>
        <v>0.22009513877492604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2.2791108214110589</v>
      </c>
      <c r="D56" s="1"/>
      <c r="E56" t="s">
        <v>27</v>
      </c>
    </row>
    <row r="57" spans="1:8" x14ac:dyDescent="0.2">
      <c r="A57" s="4" t="s">
        <v>20</v>
      </c>
      <c r="B57" s="16">
        <f>+B52/C52</f>
        <v>2.7041718173905673</v>
      </c>
      <c r="D57" s="2"/>
      <c r="E57" t="s">
        <v>28</v>
      </c>
    </row>
    <row r="58" spans="1:8" x14ac:dyDescent="0.2">
      <c r="A58" s="4" t="s">
        <v>21</v>
      </c>
      <c r="B58" s="16">
        <f>+B53/C53</f>
        <v>1.5133716618225108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5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4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(4)'!B1+1)</f>
        <v>Coos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(4)'!$B$1+1)</f>
        <v>4940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(4)'!$B$1+1)</f>
        <v>3539</v>
      </c>
      <c r="C6" s="7">
        <f t="shared" ref="C6:C13" si="0">+E6+F6</f>
        <v>458</v>
      </c>
      <c r="D6" s="11">
        <f t="shared" ref="D6:D14" si="1">+C6/B6</f>
        <v>0.1294150890081944</v>
      </c>
      <c r="E6" s="7">
        <f>+VLOOKUP($A6,DataSets!$A$41:$L$49,'1 (4)'!$B$1+1)</f>
        <v>89</v>
      </c>
      <c r="F6" s="7">
        <f>+VLOOKUP($A6,DataSets!$A$65:$L$73,'1 (4)'!$B$1+1)</f>
        <v>369</v>
      </c>
      <c r="G6" s="12">
        <f t="shared" ref="G6:G14" si="2">+E6/$C6</f>
        <v>0.1943231441048035</v>
      </c>
      <c r="H6" s="12">
        <f t="shared" ref="H6:H14" si="3">+F6/$C6</f>
        <v>0.80567685589519655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(4)'!$B$1+1)</f>
        <v>3209</v>
      </c>
      <c r="C7" s="7">
        <f t="shared" si="0"/>
        <v>1395</v>
      </c>
      <c r="D7" s="11">
        <f t="shared" si="1"/>
        <v>0.43471486444375196</v>
      </c>
      <c r="E7" s="7">
        <f>+VLOOKUP($A7,DataSets!$A$41:$L$49,'1 (4)'!$B$1+1)</f>
        <v>643</v>
      </c>
      <c r="F7" s="7">
        <f>+VLOOKUP($A7,DataSets!$A$65:$L$73,'1 (4)'!$B$1+1)</f>
        <v>752</v>
      </c>
      <c r="G7" s="12">
        <f t="shared" si="2"/>
        <v>0.46093189964157705</v>
      </c>
      <c r="H7" s="12">
        <f t="shared" si="3"/>
        <v>0.5390681003584229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(4)'!$B$1+1)</f>
        <v>4096</v>
      </c>
      <c r="C8" s="7">
        <f t="shared" si="0"/>
        <v>2105</v>
      </c>
      <c r="D8" s="11">
        <f t="shared" si="1"/>
        <v>0.513916015625</v>
      </c>
      <c r="E8" s="7">
        <f>+VLOOKUP($A8,DataSets!$A$41:$L$49,'1 (4)'!$B$1+1)</f>
        <v>1448</v>
      </c>
      <c r="F8" s="7">
        <f>+VLOOKUP($A8,DataSets!$A$65:$L$73,'1 (4)'!$B$1+1)</f>
        <v>657</v>
      </c>
      <c r="G8" s="12">
        <f t="shared" si="2"/>
        <v>0.68788598574821858</v>
      </c>
      <c r="H8" s="12">
        <f t="shared" si="3"/>
        <v>0.31211401425178148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(4)'!$B$1+1)</f>
        <v>5585</v>
      </c>
      <c r="C9" s="7">
        <f t="shared" si="0"/>
        <v>3042</v>
      </c>
      <c r="D9" s="11">
        <f t="shared" si="1"/>
        <v>0.5446732318710833</v>
      </c>
      <c r="E9" s="7">
        <f>+VLOOKUP($A9,DataSets!$A$41:$L$49,'1 (4)'!$B$1+1)</f>
        <v>2308</v>
      </c>
      <c r="F9" s="7">
        <f>+VLOOKUP($A9,DataSets!$A$65:$L$73,'1 (4)'!$B$1+1)</f>
        <v>734</v>
      </c>
      <c r="G9" s="12">
        <f t="shared" si="2"/>
        <v>0.75871137409598943</v>
      </c>
      <c r="H9" s="12">
        <f t="shared" si="3"/>
        <v>0.24128862590401051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(4)'!$B$1+1)</f>
        <v>5287</v>
      </c>
      <c r="C10" s="7">
        <f t="shared" si="0"/>
        <v>3092</v>
      </c>
      <c r="D10" s="11">
        <f t="shared" si="1"/>
        <v>0.58483071685265742</v>
      </c>
      <c r="E10" s="7">
        <f>+VLOOKUP($A10,DataSets!$A$41:$L$49,'1 (4)'!$B$1+1)</f>
        <v>2531</v>
      </c>
      <c r="F10" s="7">
        <f>+VLOOKUP($A10,DataSets!$A$65:$L$73,'1 (4)'!$B$1+1)</f>
        <v>561</v>
      </c>
      <c r="G10" s="12">
        <f t="shared" si="2"/>
        <v>0.81856403622250973</v>
      </c>
      <c r="H10" s="12">
        <f t="shared" si="3"/>
        <v>0.1814359637774903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(4)'!$B$1+1)</f>
        <v>3291</v>
      </c>
      <c r="C11" s="7">
        <f t="shared" si="0"/>
        <v>2056</v>
      </c>
      <c r="D11" s="11">
        <f t="shared" si="1"/>
        <v>0.62473412336675782</v>
      </c>
      <c r="E11" s="7">
        <f>+VLOOKUP($A11,DataSets!$A$41:$L$49,'1 (4)'!$B$1+1)</f>
        <v>1629</v>
      </c>
      <c r="F11" s="7">
        <f>+VLOOKUP($A11,DataSets!$A$65:$L$73,'1 (4)'!$B$1+1)</f>
        <v>427</v>
      </c>
      <c r="G11" s="12">
        <f t="shared" si="2"/>
        <v>0.79231517509727623</v>
      </c>
      <c r="H11" s="12">
        <f t="shared" si="3"/>
        <v>0.20768482490272375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(4)'!$B$1+1)</f>
        <v>2144</v>
      </c>
      <c r="C12" s="7">
        <f t="shared" si="0"/>
        <v>1444</v>
      </c>
      <c r="D12" s="11">
        <f t="shared" si="1"/>
        <v>0.67350746268656714</v>
      </c>
      <c r="E12" s="7">
        <f>+VLOOKUP($A12,DataSets!$A$41:$L$49,'1 (4)'!$B$1+1)</f>
        <v>1054</v>
      </c>
      <c r="F12" s="7">
        <f>+VLOOKUP($A12,DataSets!$A$65:$L$73,'1 (4)'!$B$1+1)</f>
        <v>390</v>
      </c>
      <c r="G12" s="12">
        <f t="shared" si="2"/>
        <v>0.72991689750692523</v>
      </c>
      <c r="H12" s="12">
        <f t="shared" si="3"/>
        <v>0.27008310249307477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(4)'!$B$1+1)</f>
        <v>964</v>
      </c>
      <c r="C13" s="7">
        <f t="shared" si="0"/>
        <v>579</v>
      </c>
      <c r="D13" s="11">
        <f t="shared" si="1"/>
        <v>0.60062240663900412</v>
      </c>
      <c r="E13" s="7">
        <f>+VLOOKUP($A13,DataSets!$A$41:$L$49,'1 (4)'!$B$1+1)</f>
        <v>369</v>
      </c>
      <c r="F13" s="7">
        <f>+VLOOKUP($A13,DataSets!$A$65:$L$73,'1 (4)'!$B$1+1)</f>
        <v>210</v>
      </c>
      <c r="G13" s="12">
        <f t="shared" si="2"/>
        <v>0.63730569948186533</v>
      </c>
      <c r="H13" s="12">
        <f t="shared" si="3"/>
        <v>0.36269430051813473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33055</v>
      </c>
      <c r="C14" s="7">
        <f>SUM(C5:C13)</f>
        <v>14171</v>
      </c>
      <c r="D14" s="13">
        <f t="shared" si="1"/>
        <v>0.42870972621388592</v>
      </c>
      <c r="E14" s="7">
        <f>SUM(E5:E13)</f>
        <v>10071</v>
      </c>
      <c r="F14" s="7">
        <f>SUM(F5:F13)</f>
        <v>4100</v>
      </c>
      <c r="G14" s="14">
        <f t="shared" si="2"/>
        <v>0.71067673417542865</v>
      </c>
      <c r="H14" s="14">
        <f t="shared" si="3"/>
        <v>0.2893232658245713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(4)'!$B$1+1)</f>
        <v>1467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(4)'!$B$1+1)</f>
        <v>1017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450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Coos County, New Hampshire</v>
      </c>
    </row>
    <row r="22" spans="1:18" x14ac:dyDescent="0.2">
      <c r="A22" s="4" t="s">
        <v>10</v>
      </c>
      <c r="B22" s="7">
        <f>+B14-B17</f>
        <v>31588</v>
      </c>
      <c r="C22" s="7">
        <f>+C14-C17</f>
        <v>14171</v>
      </c>
      <c r="D22" s="8" t="s">
        <v>18</v>
      </c>
      <c r="E22" s="7">
        <f>+E14-E17</f>
        <v>10071</v>
      </c>
      <c r="F22" s="7">
        <f>+F14-F17</f>
        <v>4100</v>
      </c>
      <c r="G22" s="14">
        <f t="shared" ref="G22:H24" si="6">+E22/$C22</f>
        <v>0.71067673417542865</v>
      </c>
      <c r="H22" s="14">
        <f t="shared" si="6"/>
        <v>0.2893232658245713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25639</v>
      </c>
      <c r="C23" s="7">
        <f>SUM(C5:C10)-C18</f>
        <v>10092</v>
      </c>
      <c r="D23" s="8" t="s">
        <v>18</v>
      </c>
      <c r="E23" s="7">
        <f>SUM(E5:E10)-E18</f>
        <v>7019</v>
      </c>
      <c r="F23" s="7">
        <f>SUM(F5:F10)-F18</f>
        <v>3073</v>
      </c>
      <c r="G23" s="14">
        <f t="shared" si="6"/>
        <v>0.69550138723741572</v>
      </c>
      <c r="H23" s="14">
        <f t="shared" si="6"/>
        <v>0.30449861276258422</v>
      </c>
      <c r="L23" t="s">
        <v>10</v>
      </c>
      <c r="M23" s="17">
        <f>SUM(M24:M27)</f>
        <v>14171</v>
      </c>
      <c r="N23" s="19">
        <f>+M23/M$23</f>
        <v>1</v>
      </c>
      <c r="O23" s="17">
        <f>SUM(O24:O27)</f>
        <v>14484.632056075101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5949</v>
      </c>
      <c r="C24" s="7">
        <f>+SUM(C11:C13)-C19</f>
        <v>4079</v>
      </c>
      <c r="D24" s="8" t="s">
        <v>18</v>
      </c>
      <c r="E24" s="7">
        <f>+SUM(E11:E13)-E19</f>
        <v>3052</v>
      </c>
      <c r="F24" s="7">
        <f>+SUM(F11:F13)-F19</f>
        <v>1027</v>
      </c>
      <c r="G24" s="14">
        <f t="shared" si="6"/>
        <v>0.7482226035793087</v>
      </c>
      <c r="H24" s="14">
        <f t="shared" si="6"/>
        <v>0.25177739642069136</v>
      </c>
      <c r="L24" t="s">
        <v>88</v>
      </c>
      <c r="M24" s="17">
        <f>+SUM(E6:F6)</f>
        <v>458</v>
      </c>
      <c r="N24" s="19">
        <f>+M24/M$23</f>
        <v>3.231952579211065E-2</v>
      </c>
      <c r="O24" s="17">
        <f>+SUM(E35:F35)</f>
        <v>342.3029104266742</v>
      </c>
      <c r="P24" s="19">
        <f>+O24/O$23</f>
        <v>2.3632143992439666E-2</v>
      </c>
      <c r="R24" s="19">
        <f>+P24-N24</f>
        <v>-8.6873817996709832E-3</v>
      </c>
    </row>
    <row r="25" spans="1:18" x14ac:dyDescent="0.2">
      <c r="L25" t="s">
        <v>89</v>
      </c>
      <c r="M25" s="17">
        <f>SUM(E7:F8)</f>
        <v>3500</v>
      </c>
      <c r="N25" s="19">
        <f>+M25/M$23</f>
        <v>0.24698327570390233</v>
      </c>
      <c r="O25" s="17">
        <f>+SUM(E36:F37)</f>
        <v>2950.5331284905487</v>
      </c>
      <c r="P25" s="19">
        <f>+O25/O$23</f>
        <v>0.20370093745343326</v>
      </c>
      <c r="R25" s="19">
        <f>+P25-N25</f>
        <v>-4.3282338250469066E-2</v>
      </c>
    </row>
    <row r="26" spans="1:18" x14ac:dyDescent="0.2">
      <c r="A26" s="3" t="s">
        <v>26</v>
      </c>
      <c r="L26" t="s">
        <v>90</v>
      </c>
      <c r="M26" s="17">
        <f>+SUM(E9:F10)</f>
        <v>6134</v>
      </c>
      <c r="N26" s="19">
        <f>+M26/M$23</f>
        <v>0.43285583233363911</v>
      </c>
      <c r="O26" s="17">
        <f>+SUM(E38:F39)</f>
        <v>4915.6797074088754</v>
      </c>
      <c r="P26" s="19">
        <f>+O26/O$23</f>
        <v>0.33937207989671753</v>
      </c>
      <c r="R26" s="19">
        <f>+P26-N26</f>
        <v>-9.3483752436921586E-2</v>
      </c>
    </row>
    <row r="27" spans="1:18" x14ac:dyDescent="0.2">
      <c r="A27" s="4" t="s">
        <v>10</v>
      </c>
      <c r="B27" s="16">
        <f>+B22/C22</f>
        <v>2.2290593465528192</v>
      </c>
      <c r="D27" s="1"/>
      <c r="E27" t="s">
        <v>27</v>
      </c>
      <c r="L27" t="s">
        <v>91</v>
      </c>
      <c r="M27" s="17">
        <f>+SUM(E11:F13)</f>
        <v>4079</v>
      </c>
      <c r="N27" s="19">
        <f>+M27/M$23</f>
        <v>0.28784136617034789</v>
      </c>
      <c r="O27" s="17">
        <f>+SUM(E40:F42)</f>
        <v>6276.1163097490034</v>
      </c>
      <c r="P27" s="19">
        <f>+O27/O$23</f>
        <v>0.43329483865740959</v>
      </c>
      <c r="R27" s="19">
        <f>+P27-N27</f>
        <v>0.1454534724870617</v>
      </c>
    </row>
    <row r="28" spans="1:18" x14ac:dyDescent="0.2">
      <c r="A28" s="4" t="s">
        <v>20</v>
      </c>
      <c r="B28" s="16">
        <f>+B23/C23</f>
        <v>2.5405271502179945</v>
      </c>
      <c r="D28" s="2"/>
      <c r="E28" t="s">
        <v>28</v>
      </c>
    </row>
    <row r="29" spans="1:18" x14ac:dyDescent="0.2">
      <c r="A29" s="4" t="s">
        <v>21</v>
      </c>
      <c r="B29" s="16">
        <f>+B24/C24</f>
        <v>1.4584456974748712</v>
      </c>
      <c r="M29" s="17">
        <f>+E14+F14</f>
        <v>14171</v>
      </c>
      <c r="O29" s="17">
        <f>+E43+F43</f>
        <v>14484.632056075101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(4)'!D1+1)</f>
        <v>2025</v>
      </c>
      <c r="C32" s="20" t="str">
        <f>+C3</f>
        <v>County:</v>
      </c>
      <c r="D32" s="23" t="str">
        <f>+D3</f>
        <v>Coos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(4)'!$B$1+1)</f>
        <v>3918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(4)'!$B$1+1)</f>
        <v>2645</v>
      </c>
      <c r="C35" s="7">
        <f t="shared" ref="C35:C42" si="7">+B35*D35</f>
        <v>342.3029104266742</v>
      </c>
      <c r="D35" s="11">
        <f t="shared" ref="D35:D42" si="8">+D6</f>
        <v>0.1294150890081944</v>
      </c>
      <c r="E35" s="7">
        <f t="shared" ref="E35:F42" si="9">+G35*$C35</f>
        <v>66.517377790336255</v>
      </c>
      <c r="F35" s="7">
        <f t="shared" si="9"/>
        <v>275.78553263633796</v>
      </c>
      <c r="G35" s="12">
        <f t="shared" ref="G35:H42" si="10">+G6</f>
        <v>0.1943231441048035</v>
      </c>
      <c r="H35" s="12">
        <f t="shared" si="10"/>
        <v>0.80567685589519655</v>
      </c>
    </row>
    <row r="36" spans="1:8" x14ac:dyDescent="0.2">
      <c r="A36" s="4" t="s">
        <v>3</v>
      </c>
      <c r="B36" s="7">
        <f>+VLOOKUP($A36,forecasts!$I$3:$T$12,'1 (4)'!$B$1+1)</f>
        <v>2717</v>
      </c>
      <c r="C36" s="7">
        <f t="shared" si="7"/>
        <v>1181.120286693674</v>
      </c>
      <c r="D36" s="11">
        <f t="shared" si="8"/>
        <v>0.43471486444375196</v>
      </c>
      <c r="E36" s="7">
        <f t="shared" si="9"/>
        <v>544.41601745091918</v>
      </c>
      <c r="F36" s="7">
        <f t="shared" si="9"/>
        <v>636.70426924275466</v>
      </c>
      <c r="G36" s="12">
        <f t="shared" si="10"/>
        <v>0.46093189964157705</v>
      </c>
      <c r="H36" s="12">
        <f t="shared" si="10"/>
        <v>0.5390681003584229</v>
      </c>
    </row>
    <row r="37" spans="1:8" x14ac:dyDescent="0.2">
      <c r="A37" s="4" t="s">
        <v>4</v>
      </c>
      <c r="B37" s="7">
        <f>+VLOOKUP($A37,forecasts!$I$3:$T$12,'1 (4)'!$B$1+1)</f>
        <v>3443</v>
      </c>
      <c r="C37" s="7">
        <f t="shared" si="7"/>
        <v>1769.412841796875</v>
      </c>
      <c r="D37" s="11">
        <f t="shared" si="8"/>
        <v>0.513916015625</v>
      </c>
      <c r="E37" s="7">
        <f t="shared" si="9"/>
        <v>1217.154296875</v>
      </c>
      <c r="F37" s="7">
        <f t="shared" si="9"/>
        <v>552.258544921875</v>
      </c>
      <c r="G37" s="12">
        <f t="shared" si="10"/>
        <v>0.68788598574821858</v>
      </c>
      <c r="H37" s="12">
        <f t="shared" si="10"/>
        <v>0.31211401425178148</v>
      </c>
    </row>
    <row r="38" spans="1:8" x14ac:dyDescent="0.2">
      <c r="A38" s="4" t="s">
        <v>5</v>
      </c>
      <c r="B38" s="7">
        <f>+VLOOKUP($A38,forecasts!$I$3:$T$12,'1 (4)'!$B$1+1)</f>
        <v>3651</v>
      </c>
      <c r="C38" s="7">
        <f t="shared" si="7"/>
        <v>1988.6019695613252</v>
      </c>
      <c r="D38" s="11">
        <f t="shared" si="8"/>
        <v>0.5446732318710833</v>
      </c>
      <c r="E38" s="7">
        <f t="shared" si="9"/>
        <v>1508.7749328558639</v>
      </c>
      <c r="F38" s="7">
        <f t="shared" si="9"/>
        <v>479.82703670546107</v>
      </c>
      <c r="G38" s="12">
        <f t="shared" si="10"/>
        <v>0.75871137409598943</v>
      </c>
      <c r="H38" s="12">
        <f t="shared" si="10"/>
        <v>0.24128862590401051</v>
      </c>
    </row>
    <row r="39" spans="1:8" x14ac:dyDescent="0.2">
      <c r="A39" s="4" t="s">
        <v>6</v>
      </c>
      <c r="B39" s="7">
        <f>+VLOOKUP($A39,forecasts!$I$3:$T$12,'1 (4)'!$B$1+1)</f>
        <v>5005</v>
      </c>
      <c r="C39" s="7">
        <f t="shared" si="7"/>
        <v>2927.0777378475505</v>
      </c>
      <c r="D39" s="11">
        <f t="shared" si="8"/>
        <v>0.58483071685265742</v>
      </c>
      <c r="E39" s="7">
        <f t="shared" si="9"/>
        <v>2396.0005674295439</v>
      </c>
      <c r="F39" s="7">
        <f t="shared" si="9"/>
        <v>531.0771704180064</v>
      </c>
      <c r="G39" s="12">
        <f t="shared" si="10"/>
        <v>0.81856403622250973</v>
      </c>
      <c r="H39" s="12">
        <f t="shared" si="10"/>
        <v>0.1814359637774903</v>
      </c>
    </row>
    <row r="40" spans="1:8" x14ac:dyDescent="0.2">
      <c r="A40" s="4" t="s">
        <v>7</v>
      </c>
      <c r="B40" s="7">
        <f>+VLOOKUP($A40,forecasts!$I$3:$T$12,'1 (4)'!$B$1+1)</f>
        <v>5650</v>
      </c>
      <c r="C40" s="7">
        <f t="shared" si="7"/>
        <v>3529.7477970221817</v>
      </c>
      <c r="D40" s="11">
        <f t="shared" si="8"/>
        <v>0.62473412336675782</v>
      </c>
      <c r="E40" s="7">
        <f t="shared" si="9"/>
        <v>2796.6727438468547</v>
      </c>
      <c r="F40" s="7">
        <f t="shared" si="9"/>
        <v>733.07505317532673</v>
      </c>
      <c r="G40" s="12">
        <f t="shared" si="10"/>
        <v>0.79231517509727623</v>
      </c>
      <c r="H40" s="12">
        <f t="shared" si="10"/>
        <v>0.20768482490272375</v>
      </c>
    </row>
    <row r="41" spans="1:8" x14ac:dyDescent="0.2">
      <c r="A41" s="4" t="s">
        <v>8</v>
      </c>
      <c r="B41" s="7">
        <f>+VLOOKUP($A41,forecasts!$I$3:$T$12,'1 (4)'!$B$1+1)</f>
        <v>3037</v>
      </c>
      <c r="C41" s="7">
        <f t="shared" si="7"/>
        <v>2045.4421641791043</v>
      </c>
      <c r="D41" s="11">
        <f t="shared" si="8"/>
        <v>0.67350746268656714</v>
      </c>
      <c r="E41" s="7">
        <f t="shared" si="9"/>
        <v>1493.0027985074626</v>
      </c>
      <c r="F41" s="7">
        <f t="shared" si="9"/>
        <v>552.43936567164167</v>
      </c>
      <c r="G41" s="12">
        <f t="shared" si="10"/>
        <v>0.72991689750692523</v>
      </c>
      <c r="H41" s="12">
        <f t="shared" si="10"/>
        <v>0.27008310249307477</v>
      </c>
    </row>
    <row r="42" spans="1:8" x14ac:dyDescent="0.2">
      <c r="A42" s="4" t="s">
        <v>70</v>
      </c>
      <c r="B42" s="7">
        <f>+VLOOKUP($A42,forecasts!$I$3:$T$12,'1 (4)'!$B$1+1)</f>
        <v>1167</v>
      </c>
      <c r="C42" s="7">
        <f t="shared" si="7"/>
        <v>700.92634854771779</v>
      </c>
      <c r="D42" s="11">
        <f t="shared" si="8"/>
        <v>0.60062240663900412</v>
      </c>
      <c r="E42" s="7">
        <f t="shared" si="9"/>
        <v>446.70435684647305</v>
      </c>
      <c r="F42" s="7">
        <f t="shared" si="9"/>
        <v>254.2219917012448</v>
      </c>
      <c r="G42" s="12">
        <f t="shared" si="10"/>
        <v>0.63730569948186533</v>
      </c>
      <c r="H42" s="12">
        <f t="shared" si="10"/>
        <v>0.36269430051813473</v>
      </c>
    </row>
    <row r="43" spans="1:8" x14ac:dyDescent="0.2">
      <c r="A43" s="4" t="s">
        <v>10</v>
      </c>
      <c r="B43" s="7">
        <f>SUM(B34:B42)</f>
        <v>31233</v>
      </c>
      <c r="C43" s="7">
        <f>SUM(C34:C42)</f>
        <v>14484.632056075103</v>
      </c>
      <c r="D43" s="13">
        <f>+C43/B43</f>
        <v>0.46376051151266617</v>
      </c>
      <c r="E43" s="7">
        <f>SUM(E34:E42)</f>
        <v>10469.243091602453</v>
      </c>
      <c r="F43" s="7">
        <f>SUM(F34:F42)</f>
        <v>4015.3889644726487</v>
      </c>
      <c r="G43" s="14">
        <f>+E43/$C43</f>
        <v>0.72278281222970198</v>
      </c>
      <c r="H43" s="14">
        <f>+F43/$C43</f>
        <v>0.27721718777029797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1362.4919781120141</v>
      </c>
    </row>
    <row r="47" spans="1:8" x14ac:dyDescent="0.2">
      <c r="A47" s="4" t="s">
        <v>20</v>
      </c>
      <c r="B47" s="7">
        <f>+B18*(SUM(B35:B39)/SUM(B6:B10))</f>
        <v>817.73056732363239</v>
      </c>
      <c r="D47" t="s">
        <v>30</v>
      </c>
    </row>
    <row r="48" spans="1:8" x14ac:dyDescent="0.2">
      <c r="A48" s="4" t="s">
        <v>21</v>
      </c>
      <c r="B48" s="7">
        <f>+B19*(B42/B13)</f>
        <v>544.76141078838168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29870.508021887985</v>
      </c>
      <c r="C51" s="7">
        <f>+C43-C46</f>
        <v>14484.632056075103</v>
      </c>
      <c r="D51" s="8" t="s">
        <v>18</v>
      </c>
      <c r="E51" s="7">
        <f>+E43-E46</f>
        <v>10469.243091602453</v>
      </c>
      <c r="F51" s="7">
        <f>+F43-F46</f>
        <v>4015.3889644726487</v>
      </c>
      <c r="G51" s="14">
        <f t="shared" ref="G51:H53" si="11">+E51/$C51</f>
        <v>0.72278281222970198</v>
      </c>
      <c r="H51" s="14">
        <f t="shared" si="11"/>
        <v>0.27721718777029797</v>
      </c>
    </row>
    <row r="52" spans="1:8" x14ac:dyDescent="0.2">
      <c r="A52" s="4" t="s">
        <v>20</v>
      </c>
      <c r="B52" s="7">
        <f>SUM(B34:B39)-B47</f>
        <v>20561.269432676367</v>
      </c>
      <c r="C52" s="7">
        <f>SUM(C34:C39)-C47</f>
        <v>8208.5157463260985</v>
      </c>
      <c r="D52" s="8" t="s">
        <v>18</v>
      </c>
      <c r="E52" s="7">
        <f>SUM(E34:E39)-E47</f>
        <v>5732.8631924016627</v>
      </c>
      <c r="F52" s="7">
        <f>SUM(F34:F39)-F47</f>
        <v>2475.6525539244353</v>
      </c>
      <c r="G52" s="14">
        <f t="shared" si="11"/>
        <v>0.69840436073568257</v>
      </c>
      <c r="H52" s="14">
        <f t="shared" si="11"/>
        <v>0.30159563926431743</v>
      </c>
    </row>
    <row r="53" spans="1:8" x14ac:dyDescent="0.2">
      <c r="A53" s="4" t="s">
        <v>21</v>
      </c>
      <c r="B53" s="7">
        <f>+SUM(B40:B42)-B48</f>
        <v>9309.2385892116181</v>
      </c>
      <c r="C53" s="7">
        <f>+SUM(C40:C42)-C48</f>
        <v>6276.1163097490034</v>
      </c>
      <c r="D53" s="8" t="s">
        <v>18</v>
      </c>
      <c r="E53" s="7">
        <f>+SUM(E40:E42)-E48</f>
        <v>4736.3798992007905</v>
      </c>
      <c r="F53" s="7">
        <f>+SUM(F40:F42)-F48</f>
        <v>1539.7364105482134</v>
      </c>
      <c r="G53" s="14">
        <f t="shared" si="11"/>
        <v>0.75466732377848644</v>
      </c>
      <c r="H53" s="14">
        <f t="shared" si="11"/>
        <v>0.24533267622151367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2.0622206975122839</v>
      </c>
      <c r="D56" s="1"/>
      <c r="E56" t="s">
        <v>27</v>
      </c>
    </row>
    <row r="57" spans="1:8" x14ac:dyDescent="0.2">
      <c r="A57" s="4" t="s">
        <v>20</v>
      </c>
      <c r="B57" s="16">
        <f>+B52/C52</f>
        <v>2.5048705598060179</v>
      </c>
      <c r="D57" s="2"/>
      <c r="E57" t="s">
        <v>28</v>
      </c>
    </row>
    <row r="58" spans="1:8" x14ac:dyDescent="0.2">
      <c r="A58" s="4" t="s">
        <v>21</v>
      </c>
      <c r="B58" s="16">
        <f>+B53/C53</f>
        <v>1.4832801257604349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5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5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(5)'!B1+1)</f>
        <v>Grafton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(5)'!$B$1+1)</f>
        <v>13199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(5)'!$B$1+1)</f>
        <v>15900</v>
      </c>
      <c r="C6" s="7">
        <f t="shared" ref="C6:C13" si="0">+E6+F6</f>
        <v>1663</v>
      </c>
      <c r="D6" s="11">
        <f t="shared" ref="D6:D14" si="1">+C6/B6</f>
        <v>0.10459119496855346</v>
      </c>
      <c r="E6" s="7">
        <f>+VLOOKUP($A6,DataSets!$A$41:$L$49,'1 (5)'!$B$1+1)</f>
        <v>171</v>
      </c>
      <c r="F6" s="7">
        <f>+VLOOKUP($A6,DataSets!$A$65:$L$73,'1 (5)'!$B$1+1)</f>
        <v>1492</v>
      </c>
      <c r="G6" s="12">
        <f t="shared" ref="G6:G14" si="2">+E6/$C6</f>
        <v>0.10282621767889356</v>
      </c>
      <c r="H6" s="12">
        <f t="shared" ref="H6:H14" si="3">+F6/$C6</f>
        <v>0.89717378232110645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(5)'!$B$1+1)</f>
        <v>9448</v>
      </c>
      <c r="C7" s="7">
        <f t="shared" si="0"/>
        <v>4435</v>
      </c>
      <c r="D7" s="11">
        <f t="shared" si="1"/>
        <v>0.46941151566469091</v>
      </c>
      <c r="E7" s="7">
        <f>+VLOOKUP($A7,DataSets!$A$41:$L$49,'1 (5)'!$B$1+1)</f>
        <v>1593</v>
      </c>
      <c r="F7" s="7">
        <f>+VLOOKUP($A7,DataSets!$A$65:$L$73,'1 (5)'!$B$1+1)</f>
        <v>2842</v>
      </c>
      <c r="G7" s="12">
        <f t="shared" si="2"/>
        <v>0.3591882750845547</v>
      </c>
      <c r="H7" s="12">
        <f t="shared" si="3"/>
        <v>0.64081172491544536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(5)'!$B$1+1)</f>
        <v>10150</v>
      </c>
      <c r="C8" s="7">
        <f t="shared" si="0"/>
        <v>5507</v>
      </c>
      <c r="D8" s="11">
        <f t="shared" si="1"/>
        <v>0.54256157635467983</v>
      </c>
      <c r="E8" s="7">
        <f>+VLOOKUP($A8,DataSets!$A$41:$L$49,'1 (5)'!$B$1+1)</f>
        <v>3588</v>
      </c>
      <c r="F8" s="7">
        <f>+VLOOKUP($A8,DataSets!$A$65:$L$73,'1 (5)'!$B$1+1)</f>
        <v>1919</v>
      </c>
      <c r="G8" s="12">
        <f t="shared" si="2"/>
        <v>0.65153441074995455</v>
      </c>
      <c r="H8" s="12">
        <f t="shared" si="3"/>
        <v>0.34846558925004539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(5)'!$B$1+1)</f>
        <v>13873</v>
      </c>
      <c r="C9" s="7">
        <f t="shared" si="0"/>
        <v>7918</v>
      </c>
      <c r="D9" s="11">
        <f t="shared" si="1"/>
        <v>0.57074893678368055</v>
      </c>
      <c r="E9" s="7">
        <f>+VLOOKUP($A9,DataSets!$A$41:$L$49,'1 (5)'!$B$1+1)</f>
        <v>6080</v>
      </c>
      <c r="F9" s="7">
        <f>+VLOOKUP($A9,DataSets!$A$65:$L$73,'1 (5)'!$B$1+1)</f>
        <v>1838</v>
      </c>
      <c r="G9" s="12">
        <f t="shared" si="2"/>
        <v>0.76787067441273049</v>
      </c>
      <c r="H9" s="12">
        <f t="shared" si="3"/>
        <v>0.23212932558726951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(5)'!$B$1+1)</f>
        <v>12737</v>
      </c>
      <c r="C10" s="7">
        <f t="shared" si="0"/>
        <v>7529</v>
      </c>
      <c r="D10" s="11">
        <f t="shared" si="1"/>
        <v>0.59111250686974959</v>
      </c>
      <c r="E10" s="7">
        <f>+VLOOKUP($A10,DataSets!$A$41:$L$49,'1 (5)'!$B$1+1)</f>
        <v>6240</v>
      </c>
      <c r="F10" s="7">
        <f>+VLOOKUP($A10,DataSets!$A$65:$L$73,'1 (5)'!$B$1+1)</f>
        <v>1289</v>
      </c>
      <c r="G10" s="12">
        <f t="shared" si="2"/>
        <v>0.82879532474432194</v>
      </c>
      <c r="H10" s="12">
        <f t="shared" si="3"/>
        <v>0.17120467525567803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(5)'!$B$1+1)</f>
        <v>7437</v>
      </c>
      <c r="C11" s="7">
        <f t="shared" si="0"/>
        <v>4638</v>
      </c>
      <c r="D11" s="11">
        <f t="shared" si="1"/>
        <v>0.6236385639370714</v>
      </c>
      <c r="E11" s="7">
        <f>+VLOOKUP($A11,DataSets!$A$41:$L$49,'1 (5)'!$B$1+1)</f>
        <v>3876</v>
      </c>
      <c r="F11" s="7">
        <f>+VLOOKUP($A11,DataSets!$A$65:$L$73,'1 (5)'!$B$1+1)</f>
        <v>762</v>
      </c>
      <c r="G11" s="12">
        <f t="shared" si="2"/>
        <v>0.83570504527813716</v>
      </c>
      <c r="H11" s="12">
        <f t="shared" si="3"/>
        <v>0.16429495472186287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(5)'!$B$1+1)</f>
        <v>4325</v>
      </c>
      <c r="C12" s="7">
        <f t="shared" si="0"/>
        <v>2903</v>
      </c>
      <c r="D12" s="11">
        <f t="shared" si="1"/>
        <v>0.67121387283237</v>
      </c>
      <c r="E12" s="7">
        <f>+VLOOKUP($A12,DataSets!$A$41:$L$49,'1 (5)'!$B$1+1)</f>
        <v>2176</v>
      </c>
      <c r="F12" s="7">
        <f>+VLOOKUP($A12,DataSets!$A$65:$L$73,'1 (5)'!$B$1+1)</f>
        <v>727</v>
      </c>
      <c r="G12" s="12">
        <f t="shared" si="2"/>
        <v>0.74956941095418528</v>
      </c>
      <c r="H12" s="12">
        <f t="shared" si="3"/>
        <v>0.25043058904581467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(5)'!$B$1+1)</f>
        <v>2049</v>
      </c>
      <c r="C13" s="7">
        <f t="shared" si="0"/>
        <v>1393</v>
      </c>
      <c r="D13" s="11">
        <f t="shared" si="1"/>
        <v>0.67984382625671058</v>
      </c>
      <c r="E13" s="7">
        <f>+VLOOKUP($A13,DataSets!$A$41:$L$49,'1 (5)'!$B$1+1)</f>
        <v>820</v>
      </c>
      <c r="F13" s="7">
        <f>+VLOOKUP($A13,DataSets!$A$65:$L$73,'1 (5)'!$B$1+1)</f>
        <v>573</v>
      </c>
      <c r="G13" s="12">
        <f t="shared" si="2"/>
        <v>0.58865757358219672</v>
      </c>
      <c r="H13" s="12">
        <f t="shared" si="3"/>
        <v>0.41134242641780328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89118</v>
      </c>
      <c r="C14" s="7">
        <f>SUM(C5:C13)</f>
        <v>35986</v>
      </c>
      <c r="D14" s="13">
        <f t="shared" si="1"/>
        <v>0.40380170111537511</v>
      </c>
      <c r="E14" s="7">
        <f>SUM(E5:E13)</f>
        <v>24544</v>
      </c>
      <c r="F14" s="7">
        <f>SUM(F5:F13)</f>
        <v>11442</v>
      </c>
      <c r="G14" s="14">
        <f t="shared" si="2"/>
        <v>0.6820430167287278</v>
      </c>
      <c r="H14" s="14">
        <f t="shared" si="3"/>
        <v>0.31795698327127214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(5)'!$B$1+1)</f>
        <v>7001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(5)'!$B$1+1)</f>
        <v>6499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502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Grafton County, New Hampshire</v>
      </c>
    </row>
    <row r="22" spans="1:18" x14ac:dyDescent="0.2">
      <c r="A22" s="4" t="s">
        <v>10</v>
      </c>
      <c r="B22" s="7">
        <f>+B14-B17</f>
        <v>82117</v>
      </c>
      <c r="C22" s="7">
        <f>+C14-C17</f>
        <v>35986</v>
      </c>
      <c r="D22" s="8" t="s">
        <v>18</v>
      </c>
      <c r="E22" s="7">
        <f>+E14-E17</f>
        <v>24544</v>
      </c>
      <c r="F22" s="7">
        <f>+F14-F17</f>
        <v>11442</v>
      </c>
      <c r="G22" s="14">
        <f t="shared" ref="G22:H24" si="6">+E22/$C22</f>
        <v>0.6820430167287278</v>
      </c>
      <c r="H22" s="14">
        <f t="shared" si="6"/>
        <v>0.31795698327127214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68808</v>
      </c>
      <c r="C23" s="7">
        <f>SUM(C5:C10)-C18</f>
        <v>27052</v>
      </c>
      <c r="D23" s="8" t="s">
        <v>18</v>
      </c>
      <c r="E23" s="7">
        <f>SUM(E5:E10)-E18</f>
        <v>17672</v>
      </c>
      <c r="F23" s="7">
        <f>SUM(F5:F10)-F18</f>
        <v>9380</v>
      </c>
      <c r="G23" s="14">
        <f t="shared" si="6"/>
        <v>0.65326038740204051</v>
      </c>
      <c r="H23" s="14">
        <f t="shared" si="6"/>
        <v>0.34673961259795949</v>
      </c>
      <c r="L23" t="s">
        <v>10</v>
      </c>
      <c r="M23" s="17">
        <f>SUM(M24:M27)</f>
        <v>35986</v>
      </c>
      <c r="N23" s="19">
        <f>+M23/M$23</f>
        <v>1</v>
      </c>
      <c r="O23" s="17">
        <f>SUM(O24:O27)</f>
        <v>39822.691327181565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13309</v>
      </c>
      <c r="C24" s="7">
        <f>+SUM(C11:C13)-C19</f>
        <v>8934</v>
      </c>
      <c r="D24" s="8" t="s">
        <v>18</v>
      </c>
      <c r="E24" s="7">
        <f>+SUM(E11:E13)-E19</f>
        <v>6872</v>
      </c>
      <c r="F24" s="7">
        <f>+SUM(F11:F13)-F19</f>
        <v>2062</v>
      </c>
      <c r="G24" s="14">
        <f t="shared" si="6"/>
        <v>0.76919632863219167</v>
      </c>
      <c r="H24" s="14">
        <f t="shared" si="6"/>
        <v>0.23080367136780838</v>
      </c>
      <c r="L24" t="s">
        <v>88</v>
      </c>
      <c r="M24" s="17">
        <f>+SUM(E6:F6)</f>
        <v>1663</v>
      </c>
      <c r="N24" s="19">
        <f>+M24/M$23</f>
        <v>4.6212415939532042E-2</v>
      </c>
      <c r="O24" s="17">
        <f>+SUM(E35:F35)</f>
        <v>1831.182641509434</v>
      </c>
      <c r="P24" s="19">
        <f>+O24/O$23</f>
        <v>4.59833974169278E-2</v>
      </c>
      <c r="R24" s="19">
        <f>+P24-N24</f>
        <v>-2.290185226042421E-4</v>
      </c>
    </row>
    <row r="25" spans="1:18" x14ac:dyDescent="0.2">
      <c r="L25" t="s">
        <v>89</v>
      </c>
      <c r="M25" s="17">
        <f>SUM(E7:F8)</f>
        <v>9942</v>
      </c>
      <c r="N25" s="19">
        <f>+M25/M$23</f>
        <v>0.27627410659700996</v>
      </c>
      <c r="O25" s="17">
        <f>+SUM(E36:F37)</f>
        <v>8595.2830005881297</v>
      </c>
      <c r="P25" s="19">
        <f>+O25/O$23</f>
        <v>0.21583882741549645</v>
      </c>
      <c r="R25" s="19">
        <f>+P25-N25</f>
        <v>-6.0435279181513507E-2</v>
      </c>
    </row>
    <row r="26" spans="1:18" x14ac:dyDescent="0.2">
      <c r="A26" s="3" t="s">
        <v>26</v>
      </c>
      <c r="L26" t="s">
        <v>90</v>
      </c>
      <c r="M26" s="17">
        <f>+SUM(E9:F10)</f>
        <v>15447</v>
      </c>
      <c r="N26" s="19">
        <f>+M26/M$23</f>
        <v>0.42925026399155225</v>
      </c>
      <c r="O26" s="17">
        <f>+SUM(E38:F39)</f>
        <v>13355.793414322812</v>
      </c>
      <c r="P26" s="19">
        <f>+O26/O$23</f>
        <v>0.3353814865146148</v>
      </c>
      <c r="R26" s="19">
        <f>+P26-N26</f>
        <v>-9.3868777476937448E-2</v>
      </c>
    </row>
    <row r="27" spans="1:18" x14ac:dyDescent="0.2">
      <c r="A27" s="4" t="s">
        <v>10</v>
      </c>
      <c r="B27" s="16">
        <f>+B22/C22</f>
        <v>2.28191518924026</v>
      </c>
      <c r="D27" s="1"/>
      <c r="E27" t="s">
        <v>27</v>
      </c>
      <c r="L27" t="s">
        <v>91</v>
      </c>
      <c r="M27" s="17">
        <f>+SUM(E11:F13)</f>
        <v>8934</v>
      </c>
      <c r="N27" s="19">
        <f>+M27/M$23</f>
        <v>0.24826321347190575</v>
      </c>
      <c r="O27" s="17">
        <f>+SUM(E40:F42)</f>
        <v>16040.432270761188</v>
      </c>
      <c r="P27" s="19">
        <f>+O27/O$23</f>
        <v>0.40279628865296091</v>
      </c>
      <c r="R27" s="19">
        <f>+P27-N27</f>
        <v>0.15453307518105516</v>
      </c>
    </row>
    <row r="28" spans="1:18" x14ac:dyDescent="0.2">
      <c r="A28" s="4" t="s">
        <v>20</v>
      </c>
      <c r="B28" s="16">
        <f>+B23/C23</f>
        <v>2.5435457637143282</v>
      </c>
      <c r="D28" s="2"/>
      <c r="E28" t="s">
        <v>28</v>
      </c>
    </row>
    <row r="29" spans="1:18" x14ac:dyDescent="0.2">
      <c r="A29" s="4" t="s">
        <v>21</v>
      </c>
      <c r="B29" s="16">
        <f>+B24/C24</f>
        <v>1.4897022610252966</v>
      </c>
      <c r="M29" s="17">
        <f>+E14+F14</f>
        <v>35986</v>
      </c>
      <c r="O29" s="17">
        <f>+E43+F43</f>
        <v>39822.691327181565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(5)'!D1+1)</f>
        <v>2025</v>
      </c>
      <c r="C32" s="20" t="str">
        <f>+C3</f>
        <v>County:</v>
      </c>
      <c r="D32" s="23" t="str">
        <f>+D3</f>
        <v>Grafton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(5)'!$B$1+1)</f>
        <v>11198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(5)'!$B$1+1)</f>
        <v>17508</v>
      </c>
      <c r="C35" s="7">
        <f t="shared" ref="C35:C42" si="7">+B35*D35</f>
        <v>1831.182641509434</v>
      </c>
      <c r="D35" s="11">
        <f t="shared" ref="D35:D42" si="8">+D6</f>
        <v>0.10459119496855346</v>
      </c>
      <c r="E35" s="7">
        <f t="shared" ref="E35:F42" si="9">+G35*$C35</f>
        <v>188.29358490566037</v>
      </c>
      <c r="F35" s="7">
        <f t="shared" si="9"/>
        <v>1642.8890566037737</v>
      </c>
      <c r="G35" s="12">
        <f t="shared" ref="G35:H42" si="10">+G6</f>
        <v>0.10282621767889356</v>
      </c>
      <c r="H35" s="12">
        <f t="shared" si="10"/>
        <v>0.89717378232110645</v>
      </c>
    </row>
    <row r="36" spans="1:8" x14ac:dyDescent="0.2">
      <c r="A36" s="4" t="s">
        <v>3</v>
      </c>
      <c r="B36" s="7">
        <f>+VLOOKUP($A36,forecasts!$I$3:$T$12,'1 (5)'!$B$1+1)</f>
        <v>6638</v>
      </c>
      <c r="C36" s="7">
        <f t="shared" si="7"/>
        <v>3115.9536409822181</v>
      </c>
      <c r="D36" s="11">
        <f t="shared" si="8"/>
        <v>0.46941151566469091</v>
      </c>
      <c r="E36" s="7">
        <f t="shared" si="9"/>
        <v>1119.2140135478408</v>
      </c>
      <c r="F36" s="7">
        <f t="shared" si="9"/>
        <v>1996.7396274343776</v>
      </c>
      <c r="G36" s="12">
        <f t="shared" si="10"/>
        <v>0.3591882750845547</v>
      </c>
      <c r="H36" s="12">
        <f t="shared" si="10"/>
        <v>0.64081172491544536</v>
      </c>
    </row>
    <row r="37" spans="1:8" x14ac:dyDescent="0.2">
      <c r="A37" s="4" t="s">
        <v>4</v>
      </c>
      <c r="B37" s="7">
        <f>+VLOOKUP($A37,forecasts!$I$3:$T$12,'1 (5)'!$B$1+1)</f>
        <v>10099</v>
      </c>
      <c r="C37" s="7">
        <f t="shared" si="7"/>
        <v>5479.329359605912</v>
      </c>
      <c r="D37" s="11">
        <f t="shared" si="8"/>
        <v>0.54256157635467983</v>
      </c>
      <c r="E37" s="7">
        <f t="shared" si="9"/>
        <v>3569.9716256157635</v>
      </c>
      <c r="F37" s="7">
        <f t="shared" si="9"/>
        <v>1909.3577339901481</v>
      </c>
      <c r="G37" s="12">
        <f t="shared" si="10"/>
        <v>0.65153441074995455</v>
      </c>
      <c r="H37" s="12">
        <f t="shared" si="10"/>
        <v>0.34846558925004539</v>
      </c>
    </row>
    <row r="38" spans="1:8" x14ac:dyDescent="0.2">
      <c r="A38" s="4" t="s">
        <v>5</v>
      </c>
      <c r="B38" s="7">
        <f>+VLOOKUP($A38,forecasts!$I$3:$T$12,'1 (5)'!$B$1+1)</f>
        <v>10063</v>
      </c>
      <c r="C38" s="7">
        <f t="shared" si="7"/>
        <v>5743.4465508541771</v>
      </c>
      <c r="D38" s="11">
        <f t="shared" si="8"/>
        <v>0.57074893678368055</v>
      </c>
      <c r="E38" s="7">
        <f t="shared" si="9"/>
        <v>4410.2241764578675</v>
      </c>
      <c r="F38" s="7">
        <f t="shared" si="9"/>
        <v>1333.2223743963093</v>
      </c>
      <c r="G38" s="12">
        <f t="shared" si="10"/>
        <v>0.76787067441273049</v>
      </c>
      <c r="H38" s="12">
        <f t="shared" si="10"/>
        <v>0.23212932558726951</v>
      </c>
    </row>
    <row r="39" spans="1:8" x14ac:dyDescent="0.2">
      <c r="A39" s="4" t="s">
        <v>6</v>
      </c>
      <c r="B39" s="7">
        <f>+VLOOKUP($A39,forecasts!$I$3:$T$12,'1 (5)'!$B$1+1)</f>
        <v>12878</v>
      </c>
      <c r="C39" s="7">
        <f t="shared" si="7"/>
        <v>7612.3468634686351</v>
      </c>
      <c r="D39" s="11">
        <f t="shared" si="8"/>
        <v>0.59111250686974959</v>
      </c>
      <c r="E39" s="7">
        <f t="shared" si="9"/>
        <v>6309.0774907749083</v>
      </c>
      <c r="F39" s="7">
        <f t="shared" si="9"/>
        <v>1303.2693726937268</v>
      </c>
      <c r="G39" s="12">
        <f t="shared" si="10"/>
        <v>0.82879532474432194</v>
      </c>
      <c r="H39" s="12">
        <f t="shared" si="10"/>
        <v>0.17120467525567803</v>
      </c>
    </row>
    <row r="40" spans="1:8" x14ac:dyDescent="0.2">
      <c r="A40" s="4" t="s">
        <v>7</v>
      </c>
      <c r="B40" s="7">
        <f>+VLOOKUP($A40,forecasts!$I$3:$T$12,'1 (5)'!$B$1+1)</f>
        <v>13823</v>
      </c>
      <c r="C40" s="7">
        <f t="shared" si="7"/>
        <v>8620.5558693021376</v>
      </c>
      <c r="D40" s="11">
        <f t="shared" si="8"/>
        <v>0.6236385639370714</v>
      </c>
      <c r="E40" s="7">
        <f t="shared" si="9"/>
        <v>7204.2420330778541</v>
      </c>
      <c r="F40" s="7">
        <f t="shared" si="9"/>
        <v>1416.3138362242839</v>
      </c>
      <c r="G40" s="12">
        <f t="shared" si="10"/>
        <v>0.83570504527813716</v>
      </c>
      <c r="H40" s="12">
        <f t="shared" si="10"/>
        <v>0.16429495472186287</v>
      </c>
    </row>
    <row r="41" spans="1:8" x14ac:dyDescent="0.2">
      <c r="A41" s="4" t="s">
        <v>8</v>
      </c>
      <c r="B41" s="7">
        <f>+VLOOKUP($A41,forecasts!$I$3:$T$12,'1 (5)'!$B$1+1)</f>
        <v>8107</v>
      </c>
      <c r="C41" s="7">
        <f t="shared" si="7"/>
        <v>5441.5308670520235</v>
      </c>
      <c r="D41" s="11">
        <f t="shared" si="8"/>
        <v>0.67121387283237</v>
      </c>
      <c r="E41" s="7">
        <f t="shared" si="9"/>
        <v>4078.8050867052025</v>
      </c>
      <c r="F41" s="7">
        <f t="shared" si="9"/>
        <v>1362.7257803468208</v>
      </c>
      <c r="G41" s="12">
        <f t="shared" si="10"/>
        <v>0.74956941095418528</v>
      </c>
      <c r="H41" s="12">
        <f t="shared" si="10"/>
        <v>0.25043058904581467</v>
      </c>
    </row>
    <row r="42" spans="1:8" x14ac:dyDescent="0.2">
      <c r="A42" s="4" t="s">
        <v>70</v>
      </c>
      <c r="B42" s="7">
        <f>+VLOOKUP($A42,forecasts!$I$3:$T$12,'1 (5)'!$B$1+1)</f>
        <v>2910</v>
      </c>
      <c r="C42" s="7">
        <f t="shared" si="7"/>
        <v>1978.3455344070278</v>
      </c>
      <c r="D42" s="11">
        <f t="shared" si="8"/>
        <v>0.67984382625671058</v>
      </c>
      <c r="E42" s="7">
        <f t="shared" si="9"/>
        <v>1164.5680819912152</v>
      </c>
      <c r="F42" s="7">
        <f t="shared" si="9"/>
        <v>813.77745241581249</v>
      </c>
      <c r="G42" s="12">
        <f t="shared" si="10"/>
        <v>0.58865757358219672</v>
      </c>
      <c r="H42" s="12">
        <f t="shared" si="10"/>
        <v>0.41134242641780328</v>
      </c>
    </row>
    <row r="43" spans="1:8" x14ac:dyDescent="0.2">
      <c r="A43" s="4" t="s">
        <v>10</v>
      </c>
      <c r="B43" s="7">
        <f>SUM(B34:B42)</f>
        <v>93224</v>
      </c>
      <c r="C43" s="7">
        <f>SUM(C34:C42)</f>
        <v>39822.691327181565</v>
      </c>
      <c r="D43" s="13">
        <f>+C43/B43</f>
        <v>0.42717209438751358</v>
      </c>
      <c r="E43" s="7">
        <f>SUM(E34:E42)</f>
        <v>28044.396093076313</v>
      </c>
      <c r="F43" s="7">
        <f>SUM(F34:F42)</f>
        <v>11778.295234105251</v>
      </c>
      <c r="G43" s="14">
        <f>+E43/$C43</f>
        <v>0.70423156141469012</v>
      </c>
      <c r="H43" s="14">
        <f>+F43/$C43</f>
        <v>0.29576843858530982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6696.9033227530444</v>
      </c>
    </row>
    <row r="47" spans="1:8" x14ac:dyDescent="0.2">
      <c r="A47" s="4" t="s">
        <v>20</v>
      </c>
      <c r="B47" s="7">
        <f>+B18*(SUM(B35:B39)/SUM(B6:B10))</f>
        <v>5983.9604237779349</v>
      </c>
      <c r="D47" t="s">
        <v>30</v>
      </c>
    </row>
    <row r="48" spans="1:8" x14ac:dyDescent="0.2">
      <c r="A48" s="4" t="s">
        <v>21</v>
      </c>
      <c r="B48" s="7">
        <f>+B19*(B42/B13)</f>
        <v>712.94289897510987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86527.096677246955</v>
      </c>
      <c r="C51" s="7">
        <f>+C43-C46</f>
        <v>39822.691327181565</v>
      </c>
      <c r="D51" s="8" t="s">
        <v>18</v>
      </c>
      <c r="E51" s="7">
        <f>+E43-E46</f>
        <v>28044.396093076313</v>
      </c>
      <c r="F51" s="7">
        <f>+F43-F46</f>
        <v>11778.295234105251</v>
      </c>
      <c r="G51" s="14">
        <f t="shared" ref="G51:H53" si="11">+E51/$C51</f>
        <v>0.70423156141469012</v>
      </c>
      <c r="H51" s="14">
        <f t="shared" si="11"/>
        <v>0.29576843858530982</v>
      </c>
    </row>
    <row r="52" spans="1:8" x14ac:dyDescent="0.2">
      <c r="A52" s="4" t="s">
        <v>20</v>
      </c>
      <c r="B52" s="7">
        <f>SUM(B34:B39)-B47</f>
        <v>62400.039576222065</v>
      </c>
      <c r="C52" s="7">
        <f>SUM(C34:C39)-C47</f>
        <v>23782.259056420378</v>
      </c>
      <c r="D52" s="8" t="s">
        <v>18</v>
      </c>
      <c r="E52" s="7">
        <f>SUM(E34:E39)-E47</f>
        <v>15596.780891302038</v>
      </c>
      <c r="F52" s="7">
        <f>SUM(F34:F39)-F47</f>
        <v>8185.4781651183357</v>
      </c>
      <c r="G52" s="14">
        <f t="shared" si="11"/>
        <v>0.65581578496393733</v>
      </c>
      <c r="H52" s="14">
        <f t="shared" si="11"/>
        <v>0.34418421503606245</v>
      </c>
    </row>
    <row r="53" spans="1:8" x14ac:dyDescent="0.2">
      <c r="A53" s="4" t="s">
        <v>21</v>
      </c>
      <c r="B53" s="7">
        <f>+SUM(B40:B42)-B48</f>
        <v>24127.05710102489</v>
      </c>
      <c r="C53" s="7">
        <f>+SUM(C40:C42)-C48</f>
        <v>16040.43227076119</v>
      </c>
      <c r="D53" s="8" t="s">
        <v>18</v>
      </c>
      <c r="E53" s="7">
        <f>+SUM(E40:E42)-E48</f>
        <v>12447.615201774272</v>
      </c>
      <c r="F53" s="7">
        <f>+SUM(F40:F42)-F48</f>
        <v>3592.8170689869171</v>
      </c>
      <c r="G53" s="14">
        <f t="shared" si="11"/>
        <v>0.77601494720712894</v>
      </c>
      <c r="H53" s="14">
        <f t="shared" si="11"/>
        <v>0.22398505279287101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2.1728088633272913</v>
      </c>
      <c r="D56" s="1"/>
      <c r="E56" t="s">
        <v>27</v>
      </c>
    </row>
    <row r="57" spans="1:8" x14ac:dyDescent="0.2">
      <c r="A57" s="4" t="s">
        <v>20</v>
      </c>
      <c r="B57" s="16">
        <f>+B52/C52</f>
        <v>2.6238062342263584</v>
      </c>
      <c r="D57" s="2"/>
      <c r="E57" t="s">
        <v>28</v>
      </c>
    </row>
    <row r="58" spans="1:8" x14ac:dyDescent="0.2">
      <c r="A58" s="4" t="s">
        <v>21</v>
      </c>
      <c r="B58" s="16">
        <f>+B53/C53</f>
        <v>1.5041400813744998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2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6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(6)'!B1+1)</f>
        <v>Hillsborough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(6)'!$B$1+1)</f>
        <v>76557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(6)'!$B$1+1)</f>
        <v>51969</v>
      </c>
      <c r="C6" s="7">
        <f t="shared" ref="C6:C13" si="0">+E6+F6</f>
        <v>5220</v>
      </c>
      <c r="D6" s="11">
        <f t="shared" ref="D6:D14" si="1">+C6/B6</f>
        <v>0.10044449575708596</v>
      </c>
      <c r="E6" s="7">
        <f>+VLOOKUP($A6,DataSets!$A$41:$L$49,'1 (6)'!$B$1+1)</f>
        <v>725</v>
      </c>
      <c r="F6" s="7">
        <f>+VLOOKUP($A6,DataSets!$A$65:$L$73,'1 (6)'!$B$1+1)</f>
        <v>4495</v>
      </c>
      <c r="G6" s="12">
        <f t="shared" ref="G6:G14" si="2">+E6/$C6</f>
        <v>0.1388888888888889</v>
      </c>
      <c r="H6" s="12">
        <f t="shared" ref="H6:H14" si="3">+F6/$C6</f>
        <v>0.86111111111111116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(6)'!$B$1+1)</f>
        <v>49098</v>
      </c>
      <c r="C7" s="7">
        <f t="shared" si="0"/>
        <v>22129</v>
      </c>
      <c r="D7" s="11">
        <f t="shared" si="1"/>
        <v>0.45071082325145628</v>
      </c>
      <c r="E7" s="7">
        <f>+VLOOKUP($A7,DataSets!$A$41:$L$49,'1 (6)'!$B$1+1)</f>
        <v>9630</v>
      </c>
      <c r="F7" s="7">
        <f>+VLOOKUP($A7,DataSets!$A$65:$L$73,'1 (6)'!$B$1+1)</f>
        <v>12499</v>
      </c>
      <c r="G7" s="12">
        <f t="shared" si="2"/>
        <v>0.43517556148041031</v>
      </c>
      <c r="H7" s="12">
        <f t="shared" si="3"/>
        <v>0.56482443851958963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(6)'!$B$1+1)</f>
        <v>57579</v>
      </c>
      <c r="C8" s="7">
        <f t="shared" si="0"/>
        <v>30632</v>
      </c>
      <c r="D8" s="11">
        <f t="shared" si="1"/>
        <v>0.53199951371159626</v>
      </c>
      <c r="E8" s="7">
        <f>+VLOOKUP($A8,DataSets!$A$41:$L$49,'1 (6)'!$B$1+1)</f>
        <v>20413</v>
      </c>
      <c r="F8" s="7">
        <f>+VLOOKUP($A8,DataSets!$A$65:$L$73,'1 (6)'!$B$1+1)</f>
        <v>10219</v>
      </c>
      <c r="G8" s="12">
        <f t="shared" si="2"/>
        <v>0.66639462000522331</v>
      </c>
      <c r="H8" s="12">
        <f t="shared" si="3"/>
        <v>0.33360537999477669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(6)'!$B$1+1)</f>
        <v>68476</v>
      </c>
      <c r="C9" s="7">
        <f t="shared" si="0"/>
        <v>38690</v>
      </c>
      <c r="D9" s="11">
        <f t="shared" si="1"/>
        <v>0.56501547987616096</v>
      </c>
      <c r="E9" s="7">
        <f>+VLOOKUP($A9,DataSets!$A$41:$L$49,'1 (6)'!$B$1+1)</f>
        <v>28815</v>
      </c>
      <c r="F9" s="7">
        <f>+VLOOKUP($A9,DataSets!$A$65:$L$73,'1 (6)'!$B$1+1)</f>
        <v>9875</v>
      </c>
      <c r="G9" s="12">
        <f t="shared" si="2"/>
        <v>0.74476608942879297</v>
      </c>
      <c r="H9" s="12">
        <f t="shared" si="3"/>
        <v>0.25523391057120703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(6)'!$B$1+1)</f>
        <v>49515</v>
      </c>
      <c r="C10" s="7">
        <f t="shared" si="0"/>
        <v>29064</v>
      </c>
      <c r="D10" s="11">
        <f t="shared" si="1"/>
        <v>0.58697364435019694</v>
      </c>
      <c r="E10" s="7">
        <f>+VLOOKUP($A10,DataSets!$A$41:$L$49,'1 (6)'!$B$1+1)</f>
        <v>22870</v>
      </c>
      <c r="F10" s="7">
        <f>+VLOOKUP($A10,DataSets!$A$65:$L$73,'1 (6)'!$B$1+1)</f>
        <v>6194</v>
      </c>
      <c r="G10" s="12">
        <f t="shared" si="2"/>
        <v>0.78688411780897327</v>
      </c>
      <c r="H10" s="12">
        <f t="shared" si="3"/>
        <v>0.2131158821910267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(6)'!$B$1+1)</f>
        <v>25560</v>
      </c>
      <c r="C11" s="7">
        <f t="shared" si="0"/>
        <v>15872</v>
      </c>
      <c r="D11" s="11">
        <f t="shared" si="1"/>
        <v>0.62097026604068861</v>
      </c>
      <c r="E11" s="7">
        <f>+VLOOKUP($A11,DataSets!$A$41:$L$49,'1 (6)'!$B$1+1)</f>
        <v>12217</v>
      </c>
      <c r="F11" s="7">
        <f>+VLOOKUP($A11,DataSets!$A$65:$L$73,'1 (6)'!$B$1+1)</f>
        <v>3655</v>
      </c>
      <c r="G11" s="12">
        <f t="shared" si="2"/>
        <v>0.76972026209677424</v>
      </c>
      <c r="H11" s="12">
        <f t="shared" si="3"/>
        <v>0.23027973790322581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(6)'!$B$1+1)</f>
        <v>15119</v>
      </c>
      <c r="C12" s="7">
        <f t="shared" si="0"/>
        <v>9824</v>
      </c>
      <c r="D12" s="11">
        <f t="shared" si="1"/>
        <v>0.64977842449897483</v>
      </c>
      <c r="E12" s="7">
        <f>+VLOOKUP($A12,DataSets!$A$41:$L$49,'1 (6)'!$B$1+1)</f>
        <v>7008</v>
      </c>
      <c r="F12" s="7">
        <f>+VLOOKUP($A12,DataSets!$A$65:$L$73,'1 (6)'!$B$1+1)</f>
        <v>2816</v>
      </c>
      <c r="G12" s="12">
        <f t="shared" si="2"/>
        <v>0.71335504885993484</v>
      </c>
      <c r="H12" s="12">
        <f t="shared" si="3"/>
        <v>0.28664495114006516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(6)'!$B$1+1)</f>
        <v>6848</v>
      </c>
      <c r="C13" s="7">
        <f t="shared" si="0"/>
        <v>4035</v>
      </c>
      <c r="D13" s="11">
        <f t="shared" si="1"/>
        <v>0.58922313084112155</v>
      </c>
      <c r="E13" s="7">
        <f>+VLOOKUP($A13,DataSets!$A$41:$L$49,'1 (6)'!$B$1+1)</f>
        <v>2273</v>
      </c>
      <c r="F13" s="7">
        <f>+VLOOKUP($A13,DataSets!$A$65:$L$73,'1 (6)'!$B$1+1)</f>
        <v>1762</v>
      </c>
      <c r="G13" s="12">
        <f t="shared" si="2"/>
        <v>0.56332094175960346</v>
      </c>
      <c r="H13" s="12">
        <f t="shared" si="3"/>
        <v>0.43667905824039654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400721</v>
      </c>
      <c r="C14" s="7">
        <f>SUM(C5:C13)</f>
        <v>155466</v>
      </c>
      <c r="D14" s="13">
        <f t="shared" si="1"/>
        <v>0.38796569184045759</v>
      </c>
      <c r="E14" s="7">
        <f>SUM(E5:E13)</f>
        <v>103951</v>
      </c>
      <c r="F14" s="7">
        <f>SUM(F5:F13)</f>
        <v>51515</v>
      </c>
      <c r="G14" s="14">
        <f t="shared" si="2"/>
        <v>0.66864137496301446</v>
      </c>
      <c r="H14" s="14">
        <f t="shared" si="3"/>
        <v>0.3313586250369856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(6)'!$B$1+1)</f>
        <v>7759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(6)'!$B$1+1)</f>
        <v>5408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2351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Hillsborough County, New Hampshire</v>
      </c>
    </row>
    <row r="22" spans="1:18" x14ac:dyDescent="0.2">
      <c r="A22" s="4" t="s">
        <v>10</v>
      </c>
      <c r="B22" s="7">
        <f>+B14-B17</f>
        <v>392962</v>
      </c>
      <c r="C22" s="7">
        <f>+C14-C17</f>
        <v>155466</v>
      </c>
      <c r="D22" s="8" t="s">
        <v>18</v>
      </c>
      <c r="E22" s="7">
        <f>+E14-E17</f>
        <v>103951</v>
      </c>
      <c r="F22" s="7">
        <f>+F14-F17</f>
        <v>51515</v>
      </c>
      <c r="G22" s="14">
        <f t="shared" ref="G22:H24" si="6">+E22/$C22</f>
        <v>0.66864137496301446</v>
      </c>
      <c r="H22" s="14">
        <f t="shared" si="6"/>
        <v>0.3313586250369856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347786</v>
      </c>
      <c r="C23" s="7">
        <f>SUM(C5:C10)-C18</f>
        <v>125735</v>
      </c>
      <c r="D23" s="8" t="s">
        <v>18</v>
      </c>
      <c r="E23" s="7">
        <f>SUM(E5:E10)-E18</f>
        <v>82453</v>
      </c>
      <c r="F23" s="7">
        <f>SUM(F5:F10)-F18</f>
        <v>43282</v>
      </c>
      <c r="G23" s="14">
        <f t="shared" si="6"/>
        <v>0.65576808366803196</v>
      </c>
      <c r="H23" s="14">
        <f t="shared" si="6"/>
        <v>0.34423191633196804</v>
      </c>
      <c r="L23" t="s">
        <v>10</v>
      </c>
      <c r="M23" s="17">
        <f>SUM(M24:M27)</f>
        <v>155466</v>
      </c>
      <c r="N23" s="19">
        <f>+M23/M$23</f>
        <v>1</v>
      </c>
      <c r="O23" s="17">
        <f>SUM(O24:O27)</f>
        <v>176762.65271476391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45176</v>
      </c>
      <c r="C24" s="7">
        <f>+SUM(C11:C13)-C19</f>
        <v>29731</v>
      </c>
      <c r="D24" s="8" t="s">
        <v>18</v>
      </c>
      <c r="E24" s="7">
        <f>+SUM(E11:E13)-E19</f>
        <v>21498</v>
      </c>
      <c r="F24" s="7">
        <f>+SUM(F11:F13)-F19</f>
        <v>8233</v>
      </c>
      <c r="G24" s="14">
        <f t="shared" si="6"/>
        <v>0.72308365006222464</v>
      </c>
      <c r="H24" s="14">
        <f t="shared" si="6"/>
        <v>0.27691634993777536</v>
      </c>
      <c r="L24" t="s">
        <v>88</v>
      </c>
      <c r="M24" s="17">
        <f>+SUM(E6:F6)</f>
        <v>5220</v>
      </c>
      <c r="N24" s="19">
        <f>+M24/M$23</f>
        <v>3.3576473312492763E-2</v>
      </c>
      <c r="O24" s="17">
        <f>+SUM(E35:F35)</f>
        <v>4634.3081452404322</v>
      </c>
      <c r="P24" s="19">
        <f>+O24/O$23</f>
        <v>2.6217688375149376E-2</v>
      </c>
      <c r="R24" s="19">
        <f>+P24-N24</f>
        <v>-7.3587849373433871E-3</v>
      </c>
    </row>
    <row r="25" spans="1:18" x14ac:dyDescent="0.2">
      <c r="L25" t="s">
        <v>89</v>
      </c>
      <c r="M25" s="17">
        <f>SUM(E7:F8)</f>
        <v>52761</v>
      </c>
      <c r="N25" s="19">
        <f>+M25/M$23</f>
        <v>0.33937323916483347</v>
      </c>
      <c r="O25" s="17">
        <f>+SUM(E36:F37)</f>
        <v>54954.167156036776</v>
      </c>
      <c r="P25" s="19">
        <f>+O25/O$23</f>
        <v>0.31089241031426762</v>
      </c>
      <c r="R25" s="19">
        <f>+P25-N25</f>
        <v>-2.8480828850565854E-2</v>
      </c>
    </row>
    <row r="26" spans="1:18" x14ac:dyDescent="0.2">
      <c r="A26" s="3" t="s">
        <v>26</v>
      </c>
      <c r="L26" t="s">
        <v>90</v>
      </c>
      <c r="M26" s="17">
        <f>+SUM(E9:F10)</f>
        <v>67754</v>
      </c>
      <c r="N26" s="19">
        <f>+M26/M$23</f>
        <v>0.43581233195682656</v>
      </c>
      <c r="O26" s="17">
        <f>+SUM(E38:F39)</f>
        <v>63111.109247783999</v>
      </c>
      <c r="P26" s="19">
        <f>+O26/O$23</f>
        <v>0.35703870856489306</v>
      </c>
      <c r="R26" s="19">
        <f>+P26-N26</f>
        <v>-7.87736233919335E-2</v>
      </c>
    </row>
    <row r="27" spans="1:18" x14ac:dyDescent="0.2">
      <c r="A27" s="4" t="s">
        <v>10</v>
      </c>
      <c r="B27" s="16">
        <f>+B22/C22</f>
        <v>2.5276394838742875</v>
      </c>
      <c r="D27" s="1"/>
      <c r="E27" t="s">
        <v>27</v>
      </c>
      <c r="L27" t="s">
        <v>91</v>
      </c>
      <c r="M27" s="17">
        <f>+SUM(E11:F13)</f>
        <v>29731</v>
      </c>
      <c r="N27" s="19">
        <f>+M27/M$23</f>
        <v>0.19123795556584719</v>
      </c>
      <c r="O27" s="17">
        <f>+SUM(E40:F42)</f>
        <v>54063.068165702723</v>
      </c>
      <c r="P27" s="19">
        <f>+O27/O$23</f>
        <v>0.30585119274569</v>
      </c>
      <c r="R27" s="19">
        <f>+P27-N27</f>
        <v>0.11461323717984281</v>
      </c>
    </row>
    <row r="28" spans="1:18" x14ac:dyDescent="0.2">
      <c r="A28" s="4" t="s">
        <v>20</v>
      </c>
      <c r="B28" s="16">
        <f>+B23/C23</f>
        <v>2.7660237801725853</v>
      </c>
      <c r="D28" s="2"/>
      <c r="E28" t="s">
        <v>28</v>
      </c>
    </row>
    <row r="29" spans="1:18" x14ac:dyDescent="0.2">
      <c r="A29" s="4" t="s">
        <v>21</v>
      </c>
      <c r="B29" s="16">
        <f>+B24/C24</f>
        <v>1.5194914399112038</v>
      </c>
      <c r="M29" s="17">
        <f>+E14+F14</f>
        <v>155466</v>
      </c>
      <c r="O29" s="17">
        <f>+E43+F43</f>
        <v>176762.65271476391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(6)'!D1+1)</f>
        <v>2025</v>
      </c>
      <c r="C32" s="20" t="str">
        <f>+C3</f>
        <v>County:</v>
      </c>
      <c r="D32" s="23" t="str">
        <f>+D3</f>
        <v>Hillsborough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(6)'!$B$1+1)</f>
        <v>69575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(6)'!$B$1+1)</f>
        <v>46138</v>
      </c>
      <c r="C35" s="7">
        <f t="shared" ref="C35:C42" si="7">+B35*D35</f>
        <v>4634.3081452404322</v>
      </c>
      <c r="D35" s="11">
        <f t="shared" ref="D35:D42" si="8">+D6</f>
        <v>0.10044449575708596</v>
      </c>
      <c r="E35" s="7">
        <f t="shared" ref="E35:F42" si="9">+G35*$C35</f>
        <v>643.65390906117113</v>
      </c>
      <c r="F35" s="7">
        <f t="shared" si="9"/>
        <v>3990.6542361792613</v>
      </c>
      <c r="G35" s="12">
        <f t="shared" ref="G35:H42" si="10">+G6</f>
        <v>0.1388888888888889</v>
      </c>
      <c r="H35" s="12">
        <f t="shared" si="10"/>
        <v>0.86111111111111116</v>
      </c>
    </row>
    <row r="36" spans="1:8" x14ac:dyDescent="0.2">
      <c r="A36" s="4" t="s">
        <v>3</v>
      </c>
      <c r="B36" s="7">
        <f>+VLOOKUP($A36,forecasts!$I$3:$T$12,'1 (6)'!$B$1+1)</f>
        <v>55227</v>
      </c>
      <c r="C36" s="7">
        <f t="shared" si="7"/>
        <v>24891.406635708176</v>
      </c>
      <c r="D36" s="11">
        <f t="shared" si="8"/>
        <v>0.45071082325145628</v>
      </c>
      <c r="E36" s="7">
        <f t="shared" si="9"/>
        <v>10832.131858731516</v>
      </c>
      <c r="F36" s="7">
        <f t="shared" si="9"/>
        <v>14059.274776976657</v>
      </c>
      <c r="G36" s="12">
        <f t="shared" si="10"/>
        <v>0.43517556148041031</v>
      </c>
      <c r="H36" s="12">
        <f t="shared" si="10"/>
        <v>0.56482443851958963</v>
      </c>
    </row>
    <row r="37" spans="1:8" x14ac:dyDescent="0.2">
      <c r="A37" s="4" t="s">
        <v>4</v>
      </c>
      <c r="B37" s="7">
        <f>+VLOOKUP($A37,forecasts!$I$3:$T$12,'1 (6)'!$B$1+1)</f>
        <v>56509</v>
      </c>
      <c r="C37" s="7">
        <f t="shared" si="7"/>
        <v>30062.760520328593</v>
      </c>
      <c r="D37" s="11">
        <f t="shared" si="8"/>
        <v>0.53199951371159626</v>
      </c>
      <c r="E37" s="7">
        <f t="shared" si="9"/>
        <v>20033.661873252404</v>
      </c>
      <c r="F37" s="7">
        <f t="shared" si="9"/>
        <v>10029.098647076191</v>
      </c>
      <c r="G37" s="12">
        <f t="shared" si="10"/>
        <v>0.66639462000522331</v>
      </c>
      <c r="H37" s="12">
        <f t="shared" si="10"/>
        <v>0.33360537999477669</v>
      </c>
    </row>
    <row r="38" spans="1:8" x14ac:dyDescent="0.2">
      <c r="A38" s="4" t="s">
        <v>5</v>
      </c>
      <c r="B38" s="7">
        <f>+VLOOKUP($A38,forecasts!$I$3:$T$12,'1 (6)'!$B$1+1)</f>
        <v>50135</v>
      </c>
      <c r="C38" s="7">
        <f t="shared" si="7"/>
        <v>28327.05108359133</v>
      </c>
      <c r="D38" s="11">
        <f t="shared" si="8"/>
        <v>0.56501547987616096</v>
      </c>
      <c r="E38" s="7">
        <f t="shared" si="9"/>
        <v>21097.027060575969</v>
      </c>
      <c r="F38" s="7">
        <f t="shared" si="9"/>
        <v>7230.0240230153631</v>
      </c>
      <c r="G38" s="12">
        <f t="shared" si="10"/>
        <v>0.74476608942879297</v>
      </c>
      <c r="H38" s="12">
        <f t="shared" si="10"/>
        <v>0.25523391057120703</v>
      </c>
    </row>
    <row r="39" spans="1:8" x14ac:dyDescent="0.2">
      <c r="A39" s="4" t="s">
        <v>6</v>
      </c>
      <c r="B39" s="7">
        <f>+VLOOKUP($A39,forecasts!$I$3:$T$12,'1 (6)'!$B$1+1)</f>
        <v>59260</v>
      </c>
      <c r="C39" s="7">
        <f t="shared" si="7"/>
        <v>34784.058164192669</v>
      </c>
      <c r="D39" s="11">
        <f t="shared" si="8"/>
        <v>0.58697364435019694</v>
      </c>
      <c r="E39" s="7">
        <f t="shared" si="9"/>
        <v>27371.022922346761</v>
      </c>
      <c r="F39" s="7">
        <f t="shared" si="9"/>
        <v>7413.0352418459051</v>
      </c>
      <c r="G39" s="12">
        <f t="shared" si="10"/>
        <v>0.78688411780897327</v>
      </c>
      <c r="H39" s="12">
        <f t="shared" si="10"/>
        <v>0.2131158821910267</v>
      </c>
    </row>
    <row r="40" spans="1:8" x14ac:dyDescent="0.2">
      <c r="A40" s="4" t="s">
        <v>7</v>
      </c>
      <c r="B40" s="7">
        <f>+VLOOKUP($A40,forecasts!$I$3:$T$12,'1 (6)'!$B$1+1)</f>
        <v>49224</v>
      </c>
      <c r="C40" s="7">
        <f t="shared" si="7"/>
        <v>30566.640375586856</v>
      </c>
      <c r="D40" s="11">
        <f t="shared" si="8"/>
        <v>0.62097026604068861</v>
      </c>
      <c r="E40" s="7">
        <f t="shared" si="9"/>
        <v>23527.762441314557</v>
      </c>
      <c r="F40" s="7">
        <f t="shared" si="9"/>
        <v>7038.877934272301</v>
      </c>
      <c r="G40" s="12">
        <f t="shared" si="10"/>
        <v>0.76972026209677424</v>
      </c>
      <c r="H40" s="12">
        <f t="shared" si="10"/>
        <v>0.23027973790322581</v>
      </c>
    </row>
    <row r="41" spans="1:8" x14ac:dyDescent="0.2">
      <c r="A41" s="4" t="s">
        <v>8</v>
      </c>
      <c r="B41" s="7">
        <f>+VLOOKUP($A41,forecasts!$I$3:$T$12,'1 (6)'!$B$1+1)</f>
        <v>27517</v>
      </c>
      <c r="C41" s="7">
        <f t="shared" si="7"/>
        <v>17879.952906938292</v>
      </c>
      <c r="D41" s="11">
        <f t="shared" si="8"/>
        <v>0.64977842449897483</v>
      </c>
      <c r="E41" s="7">
        <f t="shared" si="9"/>
        <v>12754.754679542299</v>
      </c>
      <c r="F41" s="7">
        <f t="shared" si="9"/>
        <v>5125.1982273959929</v>
      </c>
      <c r="G41" s="12">
        <f t="shared" si="10"/>
        <v>0.71335504885993484</v>
      </c>
      <c r="H41" s="12">
        <f t="shared" si="10"/>
        <v>0.28664495114006516</v>
      </c>
    </row>
    <row r="42" spans="1:8" x14ac:dyDescent="0.2">
      <c r="A42" s="4" t="s">
        <v>70</v>
      </c>
      <c r="B42" s="7">
        <f>+VLOOKUP($A42,forecasts!$I$3:$T$12,'1 (6)'!$B$1+1)</f>
        <v>9532</v>
      </c>
      <c r="C42" s="7">
        <f t="shared" si="7"/>
        <v>5616.4748831775705</v>
      </c>
      <c r="D42" s="11">
        <f t="shared" si="8"/>
        <v>0.58922313084112155</v>
      </c>
      <c r="E42" s="7">
        <f t="shared" si="9"/>
        <v>3163.877920560748</v>
      </c>
      <c r="F42" s="7">
        <f t="shared" si="9"/>
        <v>2452.5969626168226</v>
      </c>
      <c r="G42" s="12">
        <f t="shared" si="10"/>
        <v>0.56332094175960346</v>
      </c>
      <c r="H42" s="12">
        <f t="shared" si="10"/>
        <v>0.43667905824039654</v>
      </c>
    </row>
    <row r="43" spans="1:8" x14ac:dyDescent="0.2">
      <c r="A43" s="4" t="s">
        <v>10</v>
      </c>
      <c r="B43" s="7">
        <f>SUM(B34:B42)</f>
        <v>423117</v>
      </c>
      <c r="C43" s="7">
        <f>SUM(C34:C42)</f>
        <v>176762.65271476394</v>
      </c>
      <c r="D43" s="13">
        <f>+C43/B43</f>
        <v>0.41776306013410935</v>
      </c>
      <c r="E43" s="7">
        <f>SUM(E34:E42)</f>
        <v>119423.89266538541</v>
      </c>
      <c r="F43" s="7">
        <f>SUM(F34:F42)</f>
        <v>57338.760049378499</v>
      </c>
      <c r="G43" s="14">
        <f>+E43/$C43</f>
        <v>0.67561722361168575</v>
      </c>
      <c r="H43" s="14">
        <f>+F43/$C43</f>
        <v>0.32438277638831414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8497.3133616550003</v>
      </c>
    </row>
    <row r="47" spans="1:8" x14ac:dyDescent="0.2">
      <c r="A47" s="4" t="s">
        <v>20</v>
      </c>
      <c r="B47" s="7">
        <f>+B18*(SUM(B35:B39)/SUM(B6:B10))</f>
        <v>5224.8641794120094</v>
      </c>
      <c r="D47" t="s">
        <v>30</v>
      </c>
    </row>
    <row r="48" spans="1:8" x14ac:dyDescent="0.2">
      <c r="A48" s="4" t="s">
        <v>21</v>
      </c>
      <c r="B48" s="7">
        <f>+B19*(B42/B13)</f>
        <v>3272.4491822429909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414619.68663834501</v>
      </c>
      <c r="C51" s="7">
        <f>+C43-C46</f>
        <v>176762.65271476394</v>
      </c>
      <c r="D51" s="8" t="s">
        <v>18</v>
      </c>
      <c r="E51" s="7">
        <f>+E43-E46</f>
        <v>119423.89266538541</v>
      </c>
      <c r="F51" s="7">
        <f>+F43-F46</f>
        <v>57338.760049378499</v>
      </c>
      <c r="G51" s="14">
        <f t="shared" ref="G51:H53" si="11">+E51/$C51</f>
        <v>0.67561722361168575</v>
      </c>
      <c r="H51" s="14">
        <f t="shared" si="11"/>
        <v>0.32438277638831414</v>
      </c>
    </row>
    <row r="52" spans="1:8" x14ac:dyDescent="0.2">
      <c r="A52" s="4" t="s">
        <v>20</v>
      </c>
      <c r="B52" s="7">
        <f>SUM(B34:B39)-B47</f>
        <v>331619.13582058798</v>
      </c>
      <c r="C52" s="7">
        <f>SUM(C34:C39)-C47</f>
        <v>122699.5845490612</v>
      </c>
      <c r="D52" s="8" t="s">
        <v>18</v>
      </c>
      <c r="E52" s="7">
        <f>SUM(E34:E39)-E47</f>
        <v>79977.497623967822</v>
      </c>
      <c r="F52" s="7">
        <f>SUM(F34:F39)-F47</f>
        <v>42722.086925093383</v>
      </c>
      <c r="G52" s="14">
        <f t="shared" si="11"/>
        <v>0.65181555355624676</v>
      </c>
      <c r="H52" s="14">
        <f t="shared" si="11"/>
        <v>0.34818444644375335</v>
      </c>
    </row>
    <row r="53" spans="1:8" x14ac:dyDescent="0.2">
      <c r="A53" s="4" t="s">
        <v>21</v>
      </c>
      <c r="B53" s="7">
        <f>+SUM(B40:B42)-B48</f>
        <v>83000.550817757015</v>
      </c>
      <c r="C53" s="7">
        <f>+SUM(C40:C42)-C48</f>
        <v>54063.068165702723</v>
      </c>
      <c r="D53" s="8" t="s">
        <v>18</v>
      </c>
      <c r="E53" s="7">
        <f>+SUM(E40:E42)-E48</f>
        <v>39446.395041417607</v>
      </c>
      <c r="F53" s="7">
        <f>+SUM(F40:F42)-F48</f>
        <v>14616.673124285117</v>
      </c>
      <c r="G53" s="14">
        <f t="shared" si="11"/>
        <v>0.72963663328383122</v>
      </c>
      <c r="H53" s="14">
        <f t="shared" si="11"/>
        <v>0.27036336671616878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2.3456294656734027</v>
      </c>
      <c r="D56" s="1"/>
      <c r="E56" t="s">
        <v>27</v>
      </c>
    </row>
    <row r="57" spans="1:8" x14ac:dyDescent="0.2">
      <c r="A57" s="4" t="s">
        <v>20</v>
      </c>
      <c r="B57" s="16">
        <f>+B52/C52</f>
        <v>2.7026915945912653</v>
      </c>
      <c r="D57" s="2"/>
      <c r="E57" t="s">
        <v>28</v>
      </c>
    </row>
    <row r="58" spans="1:8" x14ac:dyDescent="0.2">
      <c r="A58" s="4" t="s">
        <v>21</v>
      </c>
      <c r="B58" s="16">
        <f>+B53/C53</f>
        <v>1.5352541695073838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opLeftCell="A22" workbookViewId="0">
      <selection activeCell="A3" sqref="A3"/>
    </sheetView>
  </sheetViews>
  <sheetFormatPr defaultRowHeight="12.75" x14ac:dyDescent="0.2"/>
  <cols>
    <col min="1" max="1" width="25.28515625" customWidth="1"/>
    <col min="2" max="2" width="10" customWidth="1"/>
    <col min="3" max="3" width="12.140625" customWidth="1"/>
    <col min="5" max="5" width="11" customWidth="1"/>
    <col min="6" max="6" width="10.85546875" customWidth="1"/>
    <col min="12" max="12" width="11.140625" customWidth="1"/>
  </cols>
  <sheetData>
    <row r="1" spans="1:18" x14ac:dyDescent="0.2">
      <c r="A1" s="22" t="s">
        <v>79</v>
      </c>
      <c r="B1" s="21">
        <v>7</v>
      </c>
      <c r="C1" t="s">
        <v>72</v>
      </c>
      <c r="D1" s="21">
        <f>+Model!D1</f>
        <v>3</v>
      </c>
      <c r="E1" s="22" t="s">
        <v>78</v>
      </c>
    </row>
    <row r="3" spans="1:18" ht="15.75" x14ac:dyDescent="0.25">
      <c r="A3" s="3" t="s">
        <v>65</v>
      </c>
      <c r="C3" s="20" t="s">
        <v>76</v>
      </c>
      <c r="D3" s="23" t="str">
        <f>VLOOKUP(C3,DataSets!$A$2:$L$2,'1 (7)'!B1+1)</f>
        <v>Merrimack County, New Hampshire</v>
      </c>
    </row>
    <row r="4" spans="1:18" ht="51" x14ac:dyDescent="0.2">
      <c r="A4" s="4" t="s">
        <v>0</v>
      </c>
      <c r="B4" s="5" t="s">
        <v>11</v>
      </c>
      <c r="C4" s="5" t="s">
        <v>12</v>
      </c>
      <c r="D4" s="6" t="s">
        <v>13</v>
      </c>
      <c r="E4" s="5" t="s">
        <v>14</v>
      </c>
      <c r="F4" s="5" t="s">
        <v>15</v>
      </c>
      <c r="G4" s="6" t="s">
        <v>16</v>
      </c>
      <c r="H4" s="6" t="s">
        <v>17</v>
      </c>
    </row>
    <row r="5" spans="1:18" x14ac:dyDescent="0.2">
      <c r="A5" s="4" t="s">
        <v>69</v>
      </c>
      <c r="B5" s="7">
        <f>+VLOOKUP($A5,DataSets!$A$16:$L$25,'1 (7)'!$B$1+1)</f>
        <v>25609</v>
      </c>
      <c r="C5" s="8" t="s">
        <v>18</v>
      </c>
      <c r="D5" s="9" t="s">
        <v>18</v>
      </c>
      <c r="E5" s="8" t="s">
        <v>18</v>
      </c>
      <c r="F5" s="8" t="s">
        <v>18</v>
      </c>
      <c r="G5" s="9" t="s">
        <v>18</v>
      </c>
      <c r="H5" s="9" t="s">
        <v>18</v>
      </c>
    </row>
    <row r="6" spans="1:18" x14ac:dyDescent="0.2">
      <c r="A6" s="10" t="s">
        <v>2</v>
      </c>
      <c r="B6" s="7">
        <f>+VLOOKUP($A6,DataSets!$A$16:$L$25,'1 (7)'!$B$1+1)</f>
        <v>19392</v>
      </c>
      <c r="C6" s="7">
        <f t="shared" ref="C6:C13" si="0">+E6+F6</f>
        <v>1769</v>
      </c>
      <c r="D6" s="11">
        <f t="shared" ref="D6:D14" si="1">+C6/B6</f>
        <v>9.1223184818481851E-2</v>
      </c>
      <c r="E6" s="7">
        <f>+VLOOKUP($A6,DataSets!$A$41:$L$49,'1 (7)'!$B$1+1)</f>
        <v>275</v>
      </c>
      <c r="F6" s="7">
        <f>+VLOOKUP($A6,DataSets!$A$65:$L$73,'1 (7)'!$B$1+1)</f>
        <v>1494</v>
      </c>
      <c r="G6" s="12">
        <f t="shared" ref="G6:G14" si="2">+E6/$C6</f>
        <v>0.15545505935556811</v>
      </c>
      <c r="H6" s="12">
        <f t="shared" ref="H6:H14" si="3">+F6/$C6</f>
        <v>0.84454494064443186</v>
      </c>
      <c r="M6" s="24" t="s">
        <v>81</v>
      </c>
      <c r="N6" s="24" t="s">
        <v>81</v>
      </c>
      <c r="O6" s="24" t="s">
        <v>20</v>
      </c>
      <c r="P6" s="24" t="s">
        <v>20</v>
      </c>
      <c r="Q6" s="24" t="s">
        <v>21</v>
      </c>
      <c r="R6" s="24" t="s">
        <v>21</v>
      </c>
    </row>
    <row r="7" spans="1:18" x14ac:dyDescent="0.2">
      <c r="A7" s="4" t="s">
        <v>3</v>
      </c>
      <c r="B7" s="7">
        <f>+VLOOKUP($A7,DataSets!$A$16:$L$25,'1 (7)'!$B$1+1)</f>
        <v>16161</v>
      </c>
      <c r="C7" s="7">
        <f t="shared" si="0"/>
        <v>6870</v>
      </c>
      <c r="D7" s="11">
        <f t="shared" si="1"/>
        <v>0.42509745684054207</v>
      </c>
      <c r="E7" s="7">
        <f>+VLOOKUP($A7,DataSets!$A$41:$L$49,'1 (7)'!$B$1+1)</f>
        <v>3293</v>
      </c>
      <c r="F7" s="7">
        <f>+VLOOKUP($A7,DataSets!$A$65:$L$73,'1 (7)'!$B$1+1)</f>
        <v>3577</v>
      </c>
      <c r="G7" s="12">
        <f t="shared" si="2"/>
        <v>0.47933042212518195</v>
      </c>
      <c r="H7" s="12">
        <f t="shared" si="3"/>
        <v>0.52066957787481805</v>
      </c>
      <c r="L7">
        <v>2020</v>
      </c>
      <c r="M7" s="24" t="s">
        <v>82</v>
      </c>
      <c r="N7" s="24" t="s">
        <v>83</v>
      </c>
      <c r="O7" s="24" t="s">
        <v>82</v>
      </c>
      <c r="P7" s="24" t="s">
        <v>83</v>
      </c>
      <c r="Q7" s="24" t="s">
        <v>82</v>
      </c>
      <c r="R7" s="24" t="s">
        <v>83</v>
      </c>
    </row>
    <row r="8" spans="1:18" x14ac:dyDescent="0.2">
      <c r="A8" s="4" t="s">
        <v>4</v>
      </c>
      <c r="B8" s="7">
        <f>+VLOOKUP($A8,DataSets!$A$16:$L$25,'1 (7)'!$B$1+1)</f>
        <v>19841</v>
      </c>
      <c r="C8" s="7">
        <f t="shared" si="0"/>
        <v>10062</v>
      </c>
      <c r="D8" s="11">
        <f t="shared" si="1"/>
        <v>0.50713169699107907</v>
      </c>
      <c r="E8" s="7">
        <f>+VLOOKUP($A8,DataSets!$A$41:$L$49,'1 (7)'!$B$1+1)</f>
        <v>7124</v>
      </c>
      <c r="F8" s="7">
        <f>+VLOOKUP($A8,DataSets!$A$65:$L$73,'1 (7)'!$B$1+1)</f>
        <v>2938</v>
      </c>
      <c r="G8" s="12">
        <f t="shared" si="2"/>
        <v>0.70801033591731266</v>
      </c>
      <c r="H8" s="12">
        <f t="shared" si="3"/>
        <v>0.29198966408268734</v>
      </c>
      <c r="L8" t="s">
        <v>41</v>
      </c>
      <c r="M8" s="17">
        <v>20446.840568622054</v>
      </c>
      <c r="N8" s="17">
        <v>6482.6833872358548</v>
      </c>
      <c r="O8" s="17">
        <v>13107.869788898162</v>
      </c>
      <c r="P8" s="17">
        <v>4821.0555013967823</v>
      </c>
      <c r="Q8" s="17">
        <v>7338.9707797238925</v>
      </c>
      <c r="R8" s="17">
        <v>1661.6278858390715</v>
      </c>
    </row>
    <row r="9" spans="1:18" x14ac:dyDescent="0.2">
      <c r="A9" s="4" t="s">
        <v>5</v>
      </c>
      <c r="B9" s="7">
        <f>+VLOOKUP($A9,DataSets!$A$16:$L$25,'1 (7)'!$B$1+1)</f>
        <v>25270</v>
      </c>
      <c r="C9" s="7">
        <f t="shared" si="0"/>
        <v>14019</v>
      </c>
      <c r="D9" s="11">
        <f t="shared" si="1"/>
        <v>0.55476850019786306</v>
      </c>
      <c r="E9" s="7">
        <f>+VLOOKUP($A9,DataSets!$A$41:$L$49,'1 (7)'!$B$1+1)</f>
        <v>10920</v>
      </c>
      <c r="F9" s="7">
        <f>+VLOOKUP($A9,DataSets!$A$65:$L$73,'1 (7)'!$B$1+1)</f>
        <v>3099</v>
      </c>
      <c r="G9" s="12">
        <f t="shared" si="2"/>
        <v>0.77894286325700834</v>
      </c>
      <c r="H9" s="12">
        <f t="shared" si="3"/>
        <v>0.22105713674299166</v>
      </c>
      <c r="L9" t="s">
        <v>42</v>
      </c>
      <c r="M9" s="17">
        <v>18885.699856986779</v>
      </c>
      <c r="N9" s="17">
        <v>4486.5676528145232</v>
      </c>
      <c r="O9" s="17">
        <v>10698.044887270087</v>
      </c>
      <c r="P9" s="17">
        <v>3352.3535198254085</v>
      </c>
      <c r="Q9" s="17">
        <v>8187.6549697166884</v>
      </c>
      <c r="R9" s="17">
        <v>1134.2141329891144</v>
      </c>
    </row>
    <row r="10" spans="1:18" x14ac:dyDescent="0.2">
      <c r="A10" s="4" t="s">
        <v>6</v>
      </c>
      <c r="B10" s="7">
        <f>+VLOOKUP($A10,DataSets!$A$16:$L$25,'1 (7)'!$B$1+1)</f>
        <v>20164</v>
      </c>
      <c r="C10" s="7">
        <f t="shared" si="0"/>
        <v>11869</v>
      </c>
      <c r="D10" s="11">
        <f t="shared" si="1"/>
        <v>0.58862328902995442</v>
      </c>
      <c r="E10" s="7">
        <f>+VLOOKUP($A10,DataSets!$A$41:$L$49,'1 (7)'!$B$1+1)</f>
        <v>9797</v>
      </c>
      <c r="F10" s="7">
        <f>+VLOOKUP($A10,DataSets!$A$65:$L$73,'1 (7)'!$B$1+1)</f>
        <v>2072</v>
      </c>
      <c r="G10" s="12">
        <f t="shared" si="2"/>
        <v>0.82542758446372899</v>
      </c>
      <c r="H10" s="12">
        <f t="shared" si="3"/>
        <v>0.17457241553627095</v>
      </c>
      <c r="L10" t="s">
        <v>43</v>
      </c>
      <c r="M10" s="17">
        <v>22459.668215754518</v>
      </c>
      <c r="N10" s="17">
        <v>9536.5697139421682</v>
      </c>
      <c r="O10" s="17">
        <v>14568.292698594496</v>
      </c>
      <c r="P10" s="17">
        <v>7336.404529736531</v>
      </c>
      <c r="Q10" s="17">
        <v>7891.3755171600224</v>
      </c>
      <c r="R10" s="17">
        <v>2200.1651842056353</v>
      </c>
    </row>
    <row r="11" spans="1:18" x14ac:dyDescent="0.2">
      <c r="A11" s="4" t="s">
        <v>7</v>
      </c>
      <c r="B11" s="7">
        <f>+VLOOKUP($A11,DataSets!$A$16:$L$25,'1 (7)'!$B$1+1)</f>
        <v>10467</v>
      </c>
      <c r="C11" s="7">
        <f t="shared" si="0"/>
        <v>6418</v>
      </c>
      <c r="D11" s="11">
        <f t="shared" si="1"/>
        <v>0.61316518582210755</v>
      </c>
      <c r="E11" s="7">
        <f>+VLOOKUP($A11,DataSets!$A$41:$L$49,'1 (7)'!$B$1+1)</f>
        <v>5255</v>
      </c>
      <c r="F11" s="7">
        <f>+VLOOKUP($A11,DataSets!$A$65:$L$73,'1 (7)'!$B$1+1)</f>
        <v>1163</v>
      </c>
      <c r="G11" s="12">
        <f t="shared" si="2"/>
        <v>0.81879090059208481</v>
      </c>
      <c r="H11" s="12">
        <f t="shared" si="3"/>
        <v>0.18120909940791524</v>
      </c>
      <c r="L11" t="s">
        <v>44</v>
      </c>
      <c r="M11" s="17">
        <v>10392.298386872711</v>
      </c>
      <c r="N11" s="17">
        <v>4014.3502993298266</v>
      </c>
      <c r="O11" s="17">
        <v>6301.8986134423967</v>
      </c>
      <c r="P11" s="17">
        <v>2688.3634910498913</v>
      </c>
      <c r="Q11" s="17">
        <v>4090.3997734303157</v>
      </c>
      <c r="R11" s="17">
        <v>1325.9868082799351</v>
      </c>
    </row>
    <row r="12" spans="1:18" x14ac:dyDescent="0.2">
      <c r="A12" s="4" t="s">
        <v>8</v>
      </c>
      <c r="B12" s="7">
        <f>+VLOOKUP($A12,DataSets!$A$16:$L$25,'1 (7)'!$B$1+1)</f>
        <v>6400</v>
      </c>
      <c r="C12" s="7">
        <f t="shared" si="0"/>
        <v>4158</v>
      </c>
      <c r="D12" s="11">
        <f t="shared" si="1"/>
        <v>0.64968749999999997</v>
      </c>
      <c r="E12" s="7">
        <f>+VLOOKUP($A12,DataSets!$A$41:$L$49,'1 (7)'!$B$1+1)</f>
        <v>3010</v>
      </c>
      <c r="F12" s="7">
        <f>+VLOOKUP($A12,DataSets!$A$65:$L$73,'1 (7)'!$B$1+1)</f>
        <v>1148</v>
      </c>
      <c r="G12" s="12">
        <f t="shared" si="2"/>
        <v>0.72390572390572394</v>
      </c>
      <c r="H12" s="12">
        <f t="shared" si="3"/>
        <v>0.27609427609427611</v>
      </c>
      <c r="L12" t="s">
        <v>45</v>
      </c>
      <c r="M12" s="17">
        <v>26938.048121581895</v>
      </c>
      <c r="N12" s="17">
        <v>11691.315696979642</v>
      </c>
      <c r="O12" s="17">
        <v>16610.741941206274</v>
      </c>
      <c r="P12" s="17">
        <v>8745.4441574731554</v>
      </c>
      <c r="Q12" s="17">
        <v>10327.306180375619</v>
      </c>
      <c r="R12" s="17">
        <v>2945.8715395064869</v>
      </c>
    </row>
    <row r="13" spans="1:18" x14ac:dyDescent="0.2">
      <c r="A13" s="4" t="s">
        <v>9</v>
      </c>
      <c r="B13" s="7">
        <f>+VLOOKUP($A13,DataSets!$A$16:$L$25,'1 (7)'!$B$1+1)</f>
        <v>3141</v>
      </c>
      <c r="C13" s="7">
        <f t="shared" si="0"/>
        <v>1904</v>
      </c>
      <c r="D13" s="11">
        <f t="shared" si="1"/>
        <v>0.60617637695001592</v>
      </c>
      <c r="E13" s="7">
        <f>+VLOOKUP($A13,DataSets!$A$41:$L$49,'1 (7)'!$B$1+1)</f>
        <v>1012</v>
      </c>
      <c r="F13" s="7">
        <f>+VLOOKUP($A13,DataSets!$A$65:$L$73,'1 (7)'!$B$1+1)</f>
        <v>892</v>
      </c>
      <c r="G13" s="12">
        <f t="shared" si="2"/>
        <v>0.53151260504201681</v>
      </c>
      <c r="H13" s="12">
        <f t="shared" si="3"/>
        <v>0.46848739495798319</v>
      </c>
      <c r="L13" t="s">
        <v>46</v>
      </c>
      <c r="M13" s="17">
        <v>114420.26924406753</v>
      </c>
      <c r="N13" s="17">
        <v>55369.661991580571</v>
      </c>
      <c r="O13" s="17">
        <v>82200.464192960004</v>
      </c>
      <c r="P13" s="17">
        <v>43458.606891879266</v>
      </c>
      <c r="Q13" s="17">
        <v>32219.80505110752</v>
      </c>
      <c r="R13" s="17">
        <v>11911.055099701309</v>
      </c>
    </row>
    <row r="14" spans="1:18" x14ac:dyDescent="0.2">
      <c r="A14" s="4" t="s">
        <v>10</v>
      </c>
      <c r="B14" s="7">
        <f>SUM(B5:B13)</f>
        <v>146445</v>
      </c>
      <c r="C14" s="7">
        <f>SUM(C5:C13)</f>
        <v>57069</v>
      </c>
      <c r="D14" s="13">
        <f t="shared" si="1"/>
        <v>0.38969579022841339</v>
      </c>
      <c r="E14" s="7">
        <f>SUM(E5:E13)</f>
        <v>40686</v>
      </c>
      <c r="F14" s="7">
        <f>SUM(F5:F13)</f>
        <v>16383</v>
      </c>
      <c r="G14" s="14">
        <f t="shared" si="2"/>
        <v>0.71292645744624927</v>
      </c>
      <c r="H14" s="14">
        <f t="shared" si="3"/>
        <v>0.28707354255375073</v>
      </c>
      <c r="L14" t="s">
        <v>47</v>
      </c>
      <c r="M14" s="17">
        <v>44877.888253620673</v>
      </c>
      <c r="N14" s="17">
        <v>17383.081430070415</v>
      </c>
      <c r="O14" s="17">
        <v>30585.47278614861</v>
      </c>
      <c r="P14" s="17">
        <v>12770.400307816355</v>
      </c>
      <c r="Q14" s="17">
        <v>14292.415467472063</v>
      </c>
      <c r="R14" s="17">
        <v>4612.6811222540582</v>
      </c>
    </row>
    <row r="15" spans="1:18" x14ac:dyDescent="0.2">
      <c r="L15" t="s">
        <v>48</v>
      </c>
      <c r="M15" s="17">
        <v>98206.244328508517</v>
      </c>
      <c r="N15" s="17">
        <v>29883.112568252593</v>
      </c>
      <c r="O15" s="17">
        <v>68450.757590778245</v>
      </c>
      <c r="P15" s="17">
        <v>22646.56665098228</v>
      </c>
      <c r="Q15" s="17">
        <v>29755.48673773028</v>
      </c>
      <c r="R15" s="17">
        <v>7236.5459172703131</v>
      </c>
    </row>
    <row r="16" spans="1:18" x14ac:dyDescent="0.2">
      <c r="A16" s="3" t="s">
        <v>19</v>
      </c>
      <c r="L16" t="s">
        <v>49</v>
      </c>
      <c r="M16" s="17">
        <v>34516.469138487846</v>
      </c>
      <c r="N16" s="17">
        <v>16878.467613938345</v>
      </c>
      <c r="O16" s="17">
        <v>24399.12740807101</v>
      </c>
      <c r="P16" s="17">
        <v>13655.57962663408</v>
      </c>
      <c r="Q16" s="17">
        <v>10117.341730416831</v>
      </c>
      <c r="R16" s="17">
        <v>3222.8879873042633</v>
      </c>
    </row>
    <row r="17" spans="1:18" x14ac:dyDescent="0.2">
      <c r="A17" s="4" t="s">
        <v>10</v>
      </c>
      <c r="B17" s="7">
        <f>+VLOOKUP($A17,DataSets!$A$81:$L$83,'1 (7)'!$B$1+1)</f>
        <v>6335</v>
      </c>
      <c r="L17" t="s">
        <v>50</v>
      </c>
      <c r="M17" s="17">
        <v>14612.077778532335</v>
      </c>
      <c r="N17" s="17">
        <v>5294.9561433994331</v>
      </c>
      <c r="O17" s="17">
        <v>9424.245999169887</v>
      </c>
      <c r="P17" s="17">
        <v>3971.8645497448028</v>
      </c>
      <c r="Q17" s="17">
        <v>5187.8317793624501</v>
      </c>
      <c r="R17" s="17">
        <v>1323.0915936546303</v>
      </c>
    </row>
    <row r="18" spans="1:18" x14ac:dyDescent="0.2">
      <c r="A18" s="4" t="s">
        <v>20</v>
      </c>
      <c r="B18" s="7">
        <f>+VLOOKUP($A18,DataSets!$A$81:$L$83,'1 (7)'!$B$1+1)</f>
        <v>5154</v>
      </c>
      <c r="L18" t="s">
        <v>85</v>
      </c>
      <c r="M18" s="17">
        <f t="shared" ref="M18:R18" si="4">SUM(M8:M17)</f>
        <v>405755.50389303488</v>
      </c>
      <c r="N18" s="17">
        <f t="shared" si="4"/>
        <v>161020.7664975434</v>
      </c>
      <c r="O18" s="17">
        <f t="shared" si="4"/>
        <v>276346.91590653919</v>
      </c>
      <c r="P18" s="17">
        <f t="shared" si="4"/>
        <v>123446.63922653854</v>
      </c>
      <c r="Q18" s="17">
        <f t="shared" si="4"/>
        <v>129408.58798649567</v>
      </c>
      <c r="R18" s="17">
        <f t="shared" si="4"/>
        <v>37574.127271004814</v>
      </c>
    </row>
    <row r="19" spans="1:18" x14ac:dyDescent="0.2">
      <c r="A19" s="4" t="s">
        <v>21</v>
      </c>
      <c r="B19" s="7">
        <f>+B17-B18</f>
        <v>1181</v>
      </c>
      <c r="L19" t="s">
        <v>84</v>
      </c>
      <c r="M19" s="17">
        <v>405826.65036621399</v>
      </c>
      <c r="N19" s="17">
        <v>161167.29221389451</v>
      </c>
      <c r="O19" s="17">
        <v>276478.33682132344</v>
      </c>
      <c r="P19" s="17">
        <v>123506.45527260244</v>
      </c>
      <c r="Q19" s="17">
        <v>129348.31354489052</v>
      </c>
      <c r="R19" s="17">
        <v>37660.83694129208</v>
      </c>
    </row>
    <row r="20" spans="1:18" x14ac:dyDescent="0.2">
      <c r="M20" s="25">
        <f t="shared" ref="M20:R20" si="5">+M19/M18-1</f>
        <v>1.753432116051723E-4</v>
      </c>
      <c r="N20" s="25">
        <f t="shared" si="5"/>
        <v>9.0998024378019515E-4</v>
      </c>
      <c r="O20" s="25">
        <f t="shared" si="5"/>
        <v>4.755649772791859E-4</v>
      </c>
      <c r="P20" s="25">
        <f t="shared" si="5"/>
        <v>4.8454981390078089E-4</v>
      </c>
      <c r="Q20" s="25">
        <f t="shared" si="5"/>
        <v>-4.6576848216162148E-4</v>
      </c>
      <c r="R20" s="25">
        <f t="shared" si="5"/>
        <v>2.3076961884402891E-3</v>
      </c>
    </row>
    <row r="21" spans="1:18" ht="25.5" x14ac:dyDescent="0.2">
      <c r="A21" s="40" t="s">
        <v>22</v>
      </c>
      <c r="B21" s="41"/>
      <c r="C21" s="5" t="s">
        <v>77</v>
      </c>
      <c r="D21" s="15" t="s">
        <v>18</v>
      </c>
      <c r="E21" s="5" t="s">
        <v>24</v>
      </c>
      <c r="F21" s="5" t="s">
        <v>25</v>
      </c>
      <c r="G21" s="5" t="s">
        <v>16</v>
      </c>
      <c r="H21" s="5" t="s">
        <v>17</v>
      </c>
      <c r="L21" s="20" t="str">
        <f>+D3</f>
        <v>Merrimack County, New Hampshire</v>
      </c>
    </row>
    <row r="22" spans="1:18" x14ac:dyDescent="0.2">
      <c r="A22" s="4" t="s">
        <v>10</v>
      </c>
      <c r="B22" s="7">
        <f>+B14-B17</f>
        <v>140110</v>
      </c>
      <c r="C22" s="7">
        <f>+C14-C17</f>
        <v>57069</v>
      </c>
      <c r="D22" s="8" t="s">
        <v>18</v>
      </c>
      <c r="E22" s="7">
        <f>+E14-E17</f>
        <v>40686</v>
      </c>
      <c r="F22" s="7">
        <f>+F14-F17</f>
        <v>16383</v>
      </c>
      <c r="G22" s="14">
        <f t="shared" ref="G22:H24" si="6">+E22/$C22</f>
        <v>0.71292645744624927</v>
      </c>
      <c r="H22" s="14">
        <f t="shared" si="6"/>
        <v>0.28707354255375073</v>
      </c>
      <c r="L22" t="s">
        <v>86</v>
      </c>
      <c r="M22" s="26">
        <v>2010</v>
      </c>
      <c r="N22" s="26" t="s">
        <v>87</v>
      </c>
      <c r="O22" s="26">
        <f>+B32</f>
        <v>2025</v>
      </c>
      <c r="P22" s="26" t="s">
        <v>87</v>
      </c>
    </row>
    <row r="23" spans="1:18" x14ac:dyDescent="0.2">
      <c r="A23" s="4" t="s">
        <v>20</v>
      </c>
      <c r="B23" s="7">
        <f>SUM(B5:B10)-B18</f>
        <v>121283</v>
      </c>
      <c r="C23" s="7">
        <f>SUM(C5:C10)-C18</f>
        <v>44589</v>
      </c>
      <c r="D23" s="8" t="s">
        <v>18</v>
      </c>
      <c r="E23" s="7">
        <f>SUM(E5:E10)-E18</f>
        <v>31409</v>
      </c>
      <c r="F23" s="7">
        <f>SUM(F5:F10)-F18</f>
        <v>13180</v>
      </c>
      <c r="G23" s="14">
        <f t="shared" si="6"/>
        <v>0.70441140191527063</v>
      </c>
      <c r="H23" s="14">
        <f t="shared" si="6"/>
        <v>0.29558859808472943</v>
      </c>
      <c r="L23" t="s">
        <v>10</v>
      </c>
      <c r="M23" s="17">
        <f>SUM(M24:M27)</f>
        <v>57069</v>
      </c>
      <c r="N23" s="19">
        <f>+M23/M$23</f>
        <v>1</v>
      </c>
      <c r="O23" s="17">
        <f>SUM(O24:O27)</f>
        <v>65189.592924875484</v>
      </c>
      <c r="P23" s="19">
        <f>+O23/O$23</f>
        <v>1</v>
      </c>
    </row>
    <row r="24" spans="1:18" x14ac:dyDescent="0.2">
      <c r="A24" s="4" t="s">
        <v>21</v>
      </c>
      <c r="B24" s="7">
        <f>+SUM(B11:B13)-B19</f>
        <v>18827</v>
      </c>
      <c r="C24" s="7">
        <f>+SUM(C11:C13)-C19</f>
        <v>12480</v>
      </c>
      <c r="D24" s="8" t="s">
        <v>18</v>
      </c>
      <c r="E24" s="7">
        <f>+SUM(E11:E13)-E19</f>
        <v>9277</v>
      </c>
      <c r="F24" s="7">
        <f>+SUM(F11:F13)-F19</f>
        <v>3203</v>
      </c>
      <c r="G24" s="14">
        <f t="shared" si="6"/>
        <v>0.74334935897435894</v>
      </c>
      <c r="H24" s="14">
        <f t="shared" si="6"/>
        <v>0.256650641025641</v>
      </c>
      <c r="L24" t="s">
        <v>88</v>
      </c>
      <c r="M24" s="17">
        <f>+SUM(E6:F6)</f>
        <v>1769</v>
      </c>
      <c r="N24" s="19">
        <f>+M24/M$23</f>
        <v>3.0997564351924863E-2</v>
      </c>
      <c r="O24" s="17">
        <f>+SUM(E35:F35)</f>
        <v>1576.7927495874587</v>
      </c>
      <c r="P24" s="19">
        <f>+O24/O$23</f>
        <v>2.4187798678303687E-2</v>
      </c>
      <c r="R24" s="19">
        <f>+P24-N24</f>
        <v>-6.8097656736211751E-3</v>
      </c>
    </row>
    <row r="25" spans="1:18" x14ac:dyDescent="0.2">
      <c r="L25" t="s">
        <v>89</v>
      </c>
      <c r="M25" s="17">
        <f>SUM(E7:F8)</f>
        <v>16932</v>
      </c>
      <c r="N25" s="19">
        <f>+M25/M$23</f>
        <v>0.29669347631814119</v>
      </c>
      <c r="O25" s="17">
        <f>+SUM(E36:F37)</f>
        <v>17120.743992857195</v>
      </c>
      <c r="P25" s="19">
        <f>+O25/O$23</f>
        <v>0.26263001845382206</v>
      </c>
      <c r="R25" s="19">
        <f>+P25-N25</f>
        <v>-3.4063457864319135E-2</v>
      </c>
    </row>
    <row r="26" spans="1:18" x14ac:dyDescent="0.2">
      <c r="A26" s="3" t="s">
        <v>26</v>
      </c>
      <c r="L26" t="s">
        <v>90</v>
      </c>
      <c r="M26" s="17">
        <f>+SUM(E9:F10)</f>
        <v>25888</v>
      </c>
      <c r="N26" s="19">
        <f>+M26/M$23</f>
        <v>0.45362631200827069</v>
      </c>
      <c r="O26" s="17">
        <f>+SUM(E38:F39)</f>
        <v>23130.082648821022</v>
      </c>
      <c r="P26" s="19">
        <f>+O26/O$23</f>
        <v>0.35481250320854341</v>
      </c>
      <c r="R26" s="19">
        <f>+P26-N26</f>
        <v>-9.8813808799727287E-2</v>
      </c>
    </row>
    <row r="27" spans="1:18" x14ac:dyDescent="0.2">
      <c r="A27" s="4" t="s">
        <v>10</v>
      </c>
      <c r="B27" s="16">
        <f>+B22/C22</f>
        <v>2.4550982144421667</v>
      </c>
      <c r="D27" s="1"/>
      <c r="E27" t="s">
        <v>27</v>
      </c>
      <c r="L27" t="s">
        <v>91</v>
      </c>
      <c r="M27" s="17">
        <f>+SUM(E11:F13)</f>
        <v>12480</v>
      </c>
      <c r="N27" s="19">
        <f>+M27/M$23</f>
        <v>0.21868264732166326</v>
      </c>
      <c r="O27" s="17">
        <f>+SUM(E40:F42)</f>
        <v>23361.973533609809</v>
      </c>
      <c r="P27" s="19">
        <f>+O27/O$23</f>
        <v>0.35836967965933086</v>
      </c>
      <c r="R27" s="19">
        <f>+P27-N27</f>
        <v>0.1396870323376676</v>
      </c>
    </row>
    <row r="28" spans="1:18" x14ac:dyDescent="0.2">
      <c r="A28" s="4" t="s">
        <v>20</v>
      </c>
      <c r="B28" s="16">
        <f>+B23/C23</f>
        <v>2.7200206328915204</v>
      </c>
      <c r="D28" s="2"/>
      <c r="E28" t="s">
        <v>28</v>
      </c>
    </row>
    <row r="29" spans="1:18" x14ac:dyDescent="0.2">
      <c r="A29" s="4" t="s">
        <v>21</v>
      </c>
      <c r="B29" s="16">
        <f>+B24/C24</f>
        <v>1.508573717948718</v>
      </c>
      <c r="M29" s="17">
        <f>+E14+F14</f>
        <v>57069</v>
      </c>
      <c r="O29" s="17">
        <f>+E43+F43</f>
        <v>65189.592924875491</v>
      </c>
    </row>
    <row r="31" spans="1:18" x14ac:dyDescent="0.2">
      <c r="A31" t="s">
        <v>80</v>
      </c>
    </row>
    <row r="32" spans="1:18" ht="15.75" x14ac:dyDescent="0.25">
      <c r="A32" s="3" t="s">
        <v>74</v>
      </c>
      <c r="B32" s="23">
        <f>+VLOOKUP(A32,forecasts!$A$3:$G$3,'1 (7)'!D1+1)</f>
        <v>2025</v>
      </c>
      <c r="C32" s="20" t="str">
        <f>+C3</f>
        <v>County:</v>
      </c>
      <c r="D32" s="23" t="str">
        <f>+D3</f>
        <v>Merrimack County, New Hampshire</v>
      </c>
    </row>
    <row r="33" spans="1:8" ht="51" x14ac:dyDescent="0.2">
      <c r="A33" s="4" t="s">
        <v>0</v>
      </c>
      <c r="B33" s="5" t="s">
        <v>11</v>
      </c>
      <c r="C33" s="5" t="s">
        <v>12</v>
      </c>
      <c r="D33" s="6" t="s">
        <v>13</v>
      </c>
      <c r="E33" s="5" t="s">
        <v>14</v>
      </c>
      <c r="F33" s="5" t="s">
        <v>15</v>
      </c>
      <c r="G33" s="6" t="s">
        <v>16</v>
      </c>
      <c r="H33" s="6" t="s">
        <v>17</v>
      </c>
    </row>
    <row r="34" spans="1:8" x14ac:dyDescent="0.2">
      <c r="A34" s="4" t="s">
        <v>69</v>
      </c>
      <c r="B34" s="7">
        <f>+VLOOKUP($A34,forecasts!$I$3:$T$12,'1 (7)'!$B$1+1)</f>
        <v>22776</v>
      </c>
      <c r="C34" s="8" t="s">
        <v>18</v>
      </c>
      <c r="D34" s="9" t="s">
        <v>18</v>
      </c>
      <c r="E34" s="8" t="s">
        <v>18</v>
      </c>
      <c r="F34" s="8" t="s">
        <v>18</v>
      </c>
      <c r="G34" s="9" t="s">
        <v>18</v>
      </c>
      <c r="H34" s="9" t="s">
        <v>18</v>
      </c>
    </row>
    <row r="35" spans="1:8" x14ac:dyDescent="0.2">
      <c r="A35" s="10" t="s">
        <v>2</v>
      </c>
      <c r="B35" s="7">
        <f>+VLOOKUP($A35,forecasts!$I$3:$T$12,'1 (7)'!$B$1+1)</f>
        <v>17285</v>
      </c>
      <c r="C35" s="7">
        <f t="shared" ref="C35:C42" si="7">+B35*D35</f>
        <v>1576.7927495874587</v>
      </c>
      <c r="D35" s="11">
        <f t="shared" ref="D35:D42" si="8">+D6</f>
        <v>9.1223184818481851E-2</v>
      </c>
      <c r="E35" s="7">
        <f t="shared" ref="E35:F42" si="9">+G35*$C35</f>
        <v>245.12041047854783</v>
      </c>
      <c r="F35" s="7">
        <f t="shared" si="9"/>
        <v>1331.6723391089108</v>
      </c>
      <c r="G35" s="12">
        <f t="shared" ref="G35:H42" si="10">+G6</f>
        <v>0.15545505935556811</v>
      </c>
      <c r="H35" s="12">
        <f t="shared" si="10"/>
        <v>0.84454494064443186</v>
      </c>
    </row>
    <row r="36" spans="1:8" x14ac:dyDescent="0.2">
      <c r="A36" s="4" t="s">
        <v>3</v>
      </c>
      <c r="B36" s="7">
        <f>+VLOOKUP($A36,forecasts!$I$3:$T$12,'1 (7)'!$B$1+1)</f>
        <v>17013</v>
      </c>
      <c r="C36" s="7">
        <f t="shared" si="7"/>
        <v>7232.1830332281424</v>
      </c>
      <c r="D36" s="11">
        <f t="shared" si="8"/>
        <v>0.42509745684054207</v>
      </c>
      <c r="E36" s="7">
        <f t="shared" si="9"/>
        <v>3466.6053462038244</v>
      </c>
      <c r="F36" s="7">
        <f t="shared" si="9"/>
        <v>3765.577687024318</v>
      </c>
      <c r="G36" s="12">
        <f t="shared" si="10"/>
        <v>0.47933042212518195</v>
      </c>
      <c r="H36" s="12">
        <f t="shared" si="10"/>
        <v>0.52066957787481805</v>
      </c>
    </row>
    <row r="37" spans="1:8" x14ac:dyDescent="0.2">
      <c r="A37" s="4" t="s">
        <v>4</v>
      </c>
      <c r="B37" s="7">
        <f>+VLOOKUP($A37,forecasts!$I$3:$T$12,'1 (7)'!$B$1+1)</f>
        <v>19499</v>
      </c>
      <c r="C37" s="7">
        <f t="shared" si="7"/>
        <v>9888.5609596290506</v>
      </c>
      <c r="D37" s="11">
        <f t="shared" si="8"/>
        <v>0.50713169699107907</v>
      </c>
      <c r="E37" s="7">
        <f t="shared" si="9"/>
        <v>7001.2033667657879</v>
      </c>
      <c r="F37" s="7">
        <f t="shared" si="9"/>
        <v>2887.3575928632627</v>
      </c>
      <c r="G37" s="12">
        <f t="shared" si="10"/>
        <v>0.70801033591731266</v>
      </c>
      <c r="H37" s="12">
        <f t="shared" si="10"/>
        <v>0.29198966408268734</v>
      </c>
    </row>
    <row r="38" spans="1:8" x14ac:dyDescent="0.2">
      <c r="A38" s="4" t="s">
        <v>5</v>
      </c>
      <c r="B38" s="7">
        <f>+VLOOKUP($A38,forecasts!$I$3:$T$12,'1 (7)'!$B$1+1)</f>
        <v>17974</v>
      </c>
      <c r="C38" s="7">
        <f t="shared" si="7"/>
        <v>9971.4090225563905</v>
      </c>
      <c r="D38" s="11">
        <f t="shared" si="8"/>
        <v>0.55476850019786306</v>
      </c>
      <c r="E38" s="7">
        <f t="shared" si="9"/>
        <v>7767.1578947368416</v>
      </c>
      <c r="F38" s="7">
        <f t="shared" si="9"/>
        <v>2204.2511278195489</v>
      </c>
      <c r="G38" s="12">
        <f t="shared" si="10"/>
        <v>0.77894286325700834</v>
      </c>
      <c r="H38" s="12">
        <f t="shared" si="10"/>
        <v>0.22105713674299166</v>
      </c>
    </row>
    <row r="39" spans="1:8" x14ac:dyDescent="0.2">
      <c r="A39" s="4" t="s">
        <v>6</v>
      </c>
      <c r="B39" s="7">
        <f>+VLOOKUP($A39,forecasts!$I$3:$T$12,'1 (7)'!$B$1+1)</f>
        <v>22355</v>
      </c>
      <c r="C39" s="7">
        <f t="shared" si="7"/>
        <v>13158.673626264632</v>
      </c>
      <c r="D39" s="11">
        <f t="shared" si="8"/>
        <v>0.58862328902995442</v>
      </c>
      <c r="E39" s="7">
        <f t="shared" si="9"/>
        <v>10861.532186074193</v>
      </c>
      <c r="F39" s="7">
        <f t="shared" si="9"/>
        <v>2297.1414401904385</v>
      </c>
      <c r="G39" s="12">
        <f t="shared" si="10"/>
        <v>0.82542758446372899</v>
      </c>
      <c r="H39" s="12">
        <f t="shared" si="10"/>
        <v>0.17457241553627095</v>
      </c>
    </row>
    <row r="40" spans="1:8" x14ac:dyDescent="0.2">
      <c r="A40" s="4" t="s">
        <v>7</v>
      </c>
      <c r="B40" s="7">
        <f>+VLOOKUP($A40,forecasts!$I$3:$T$12,'1 (7)'!$B$1+1)</f>
        <v>21361</v>
      </c>
      <c r="C40" s="7">
        <f t="shared" si="7"/>
        <v>13097.82153434604</v>
      </c>
      <c r="D40" s="11">
        <f t="shared" si="8"/>
        <v>0.61316518582210755</v>
      </c>
      <c r="E40" s="7">
        <f t="shared" si="9"/>
        <v>10724.377089901596</v>
      </c>
      <c r="F40" s="7">
        <f t="shared" si="9"/>
        <v>2373.4444444444443</v>
      </c>
      <c r="G40" s="12">
        <f t="shared" si="10"/>
        <v>0.81879090059208481</v>
      </c>
      <c r="H40" s="12">
        <f t="shared" si="10"/>
        <v>0.18120909940791524</v>
      </c>
    </row>
    <row r="41" spans="1:8" x14ac:dyDescent="0.2">
      <c r="A41" s="4" t="s">
        <v>8</v>
      </c>
      <c r="B41" s="7">
        <f>+VLOOKUP($A41,forecasts!$I$3:$T$12,'1 (7)'!$B$1+1)</f>
        <v>11725</v>
      </c>
      <c r="C41" s="7">
        <f t="shared" si="7"/>
        <v>7617.5859375</v>
      </c>
      <c r="D41" s="11">
        <f t="shared" si="8"/>
        <v>0.64968749999999997</v>
      </c>
      <c r="E41" s="7">
        <f t="shared" si="9"/>
        <v>5514.4140625</v>
      </c>
      <c r="F41" s="7">
        <f t="shared" si="9"/>
        <v>2103.171875</v>
      </c>
      <c r="G41" s="12">
        <f t="shared" si="10"/>
        <v>0.72390572390572394</v>
      </c>
      <c r="H41" s="12">
        <f t="shared" si="10"/>
        <v>0.27609427609427611</v>
      </c>
    </row>
    <row r="42" spans="1:8" x14ac:dyDescent="0.2">
      <c r="A42" s="4" t="s">
        <v>70</v>
      </c>
      <c r="B42" s="7">
        <f>+VLOOKUP($A42,forecasts!$I$3:$T$12,'1 (7)'!$B$1+1)</f>
        <v>4366</v>
      </c>
      <c r="C42" s="7">
        <f t="shared" si="7"/>
        <v>2646.5660617637695</v>
      </c>
      <c r="D42" s="11">
        <f t="shared" si="8"/>
        <v>0.60617637695001592</v>
      </c>
      <c r="E42" s="7">
        <f t="shared" si="9"/>
        <v>1406.6832219038522</v>
      </c>
      <c r="F42" s="7">
        <f t="shared" si="9"/>
        <v>1239.8828398599173</v>
      </c>
      <c r="G42" s="12">
        <f t="shared" si="10"/>
        <v>0.53151260504201681</v>
      </c>
      <c r="H42" s="12">
        <f t="shared" si="10"/>
        <v>0.46848739495798319</v>
      </c>
    </row>
    <row r="43" spans="1:8" x14ac:dyDescent="0.2">
      <c r="A43" s="4" t="s">
        <v>10</v>
      </c>
      <c r="B43" s="7">
        <f>SUM(B34:B42)</f>
        <v>154354</v>
      </c>
      <c r="C43" s="7">
        <f>SUM(C34:C42)</f>
        <v>65189.592924875484</v>
      </c>
      <c r="D43" s="13">
        <f>+C43/B43</f>
        <v>0.42233821556212009</v>
      </c>
      <c r="E43" s="7">
        <f>SUM(E34:E42)</f>
        <v>46987.093578564651</v>
      </c>
      <c r="F43" s="7">
        <f>SUM(F34:F42)</f>
        <v>18202.49934631084</v>
      </c>
      <c r="G43" s="14">
        <f>+E43/$C43</f>
        <v>0.72077599307473206</v>
      </c>
      <c r="H43" s="14">
        <f>+F43/$C43</f>
        <v>0.27922400692526811</v>
      </c>
    </row>
    <row r="45" spans="1:8" x14ac:dyDescent="0.2">
      <c r="A45" s="3" t="s">
        <v>19</v>
      </c>
    </row>
    <row r="46" spans="1:8" x14ac:dyDescent="0.2">
      <c r="A46" s="4" t="s">
        <v>10</v>
      </c>
      <c r="B46" s="7">
        <f>+B47+B48</f>
        <v>6453.0092794476132</v>
      </c>
    </row>
    <row r="47" spans="1:8" x14ac:dyDescent="0.2">
      <c r="A47" s="4" t="s">
        <v>20</v>
      </c>
      <c r="B47" s="7">
        <f>+B18*(SUM(B35:B39)/SUM(B6:B10))</f>
        <v>4811.4155194985524</v>
      </c>
      <c r="D47" t="s">
        <v>30</v>
      </c>
    </row>
    <row r="48" spans="1:8" x14ac:dyDescent="0.2">
      <c r="A48" s="4" t="s">
        <v>21</v>
      </c>
      <c r="B48" s="7">
        <f>+B19*(B42/B13)</f>
        <v>1641.593759949061</v>
      </c>
      <c r="D48" t="s">
        <v>32</v>
      </c>
    </row>
    <row r="50" spans="1:8" ht="25.5" x14ac:dyDescent="0.2">
      <c r="A50" s="40" t="s">
        <v>22</v>
      </c>
      <c r="B50" s="41"/>
      <c r="C50" s="5" t="s">
        <v>77</v>
      </c>
      <c r="D50" s="15" t="s">
        <v>18</v>
      </c>
      <c r="E50" s="5" t="s">
        <v>24</v>
      </c>
      <c r="F50" s="5" t="s">
        <v>25</v>
      </c>
      <c r="G50" s="5" t="s">
        <v>16</v>
      </c>
      <c r="H50" s="5" t="s">
        <v>17</v>
      </c>
    </row>
    <row r="51" spans="1:8" x14ac:dyDescent="0.2">
      <c r="A51" s="4" t="s">
        <v>10</v>
      </c>
      <c r="B51" s="7">
        <f>+B43-B46</f>
        <v>147900.99072055239</v>
      </c>
      <c r="C51" s="7">
        <f>+C43-C46</f>
        <v>65189.592924875484</v>
      </c>
      <c r="D51" s="8" t="s">
        <v>18</v>
      </c>
      <c r="E51" s="7">
        <f>+E43-E46</f>
        <v>46987.093578564651</v>
      </c>
      <c r="F51" s="7">
        <f>+F43-F46</f>
        <v>18202.49934631084</v>
      </c>
      <c r="G51" s="14">
        <f t="shared" ref="G51:H53" si="11">+E51/$C51</f>
        <v>0.72077599307473206</v>
      </c>
      <c r="H51" s="14">
        <f t="shared" si="11"/>
        <v>0.27922400692526811</v>
      </c>
    </row>
    <row r="52" spans="1:8" x14ac:dyDescent="0.2">
      <c r="A52" s="4" t="s">
        <v>20</v>
      </c>
      <c r="B52" s="7">
        <f>SUM(B34:B39)-B47</f>
        <v>112090.58448050145</v>
      </c>
      <c r="C52" s="7">
        <f>SUM(C34:C39)-C47</f>
        <v>41827.619391265674</v>
      </c>
      <c r="D52" s="8" t="s">
        <v>18</v>
      </c>
      <c r="E52" s="7">
        <f>SUM(E34:E39)-E47</f>
        <v>29341.619204259197</v>
      </c>
      <c r="F52" s="7">
        <f>SUM(F34:F39)-F47</f>
        <v>12486.000187006479</v>
      </c>
      <c r="G52" s="14">
        <f t="shared" si="11"/>
        <v>0.70148910292480648</v>
      </c>
      <c r="H52" s="14">
        <f t="shared" si="11"/>
        <v>0.29851089707519357</v>
      </c>
    </row>
    <row r="53" spans="1:8" x14ac:dyDescent="0.2">
      <c r="A53" s="4" t="s">
        <v>21</v>
      </c>
      <c r="B53" s="7">
        <f>+SUM(B40:B42)-B48</f>
        <v>35810.406240050936</v>
      </c>
      <c r="C53" s="7">
        <f>+SUM(C40:C42)-C48</f>
        <v>23361.973533609809</v>
      </c>
      <c r="D53" s="8" t="s">
        <v>18</v>
      </c>
      <c r="E53" s="7">
        <f>+SUM(E40:E42)-E48</f>
        <v>17645.47437430545</v>
      </c>
      <c r="F53" s="7">
        <f>+SUM(F40:F42)-F48</f>
        <v>5716.4991593043615</v>
      </c>
      <c r="G53" s="14">
        <f t="shared" si="11"/>
        <v>0.75530752352405961</v>
      </c>
      <c r="H53" s="14">
        <f t="shared" si="11"/>
        <v>0.24469247647594045</v>
      </c>
    </row>
    <row r="55" spans="1:8" x14ac:dyDescent="0.2">
      <c r="A55" s="3" t="s">
        <v>26</v>
      </c>
    </row>
    <row r="56" spans="1:8" x14ac:dyDescent="0.2">
      <c r="A56" s="4" t="s">
        <v>10</v>
      </c>
      <c r="B56" s="16">
        <f>+B51/C51</f>
        <v>2.2687822409167913</v>
      </c>
      <c r="D56" s="1"/>
      <c r="E56" t="s">
        <v>27</v>
      </c>
    </row>
    <row r="57" spans="1:8" x14ac:dyDescent="0.2">
      <c r="A57" s="4" t="s">
        <v>20</v>
      </c>
      <c r="B57" s="16">
        <f>+B52/C52</f>
        <v>2.6798222349682157</v>
      </c>
      <c r="D57" s="2"/>
      <c r="E57" t="s">
        <v>28</v>
      </c>
    </row>
    <row r="58" spans="1:8" x14ac:dyDescent="0.2">
      <c r="A58" s="4" t="s">
        <v>21</v>
      </c>
      <c r="B58" s="16">
        <f>+B53/C53</f>
        <v>1.5328502186911621</v>
      </c>
    </row>
  </sheetData>
  <mergeCells count="2">
    <mergeCell ref="A21:B21"/>
    <mergeCell ref="A50:B50"/>
  </mergeCells>
  <phoneticPr fontId="1" type="noConversion"/>
  <pageMargins left="0.75" right="0.75" top="1" bottom="1" header="0.5" footer="0.5"/>
  <pageSetup scale="81" orientation="portrait" r:id="rId1"/>
  <headerFooter alignWithMargins="0">
    <oddHeader>&amp;F</oddHeader>
    <oddFooter>&amp;L&amp;"Arial,Bold" NH Center for Public Policy Studies&amp;C&amp;D&amp;RPage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32" baseType="lpstr">
      <vt:lpstr>Instructions</vt:lpstr>
      <vt:lpstr>Model</vt:lpstr>
      <vt:lpstr>1</vt:lpstr>
      <vt:lpstr>1 (2)</vt:lpstr>
      <vt:lpstr>1 (3)</vt:lpstr>
      <vt:lpstr>1 (4)</vt:lpstr>
      <vt:lpstr>1 (5)</vt:lpstr>
      <vt:lpstr>1 (6)</vt:lpstr>
      <vt:lpstr>1 (7)</vt:lpstr>
      <vt:lpstr>1 (8)</vt:lpstr>
      <vt:lpstr>1 (9)</vt:lpstr>
      <vt:lpstr>1 (10)</vt:lpstr>
      <vt:lpstr>Summary</vt:lpstr>
      <vt:lpstr>DataSets</vt:lpstr>
      <vt:lpstr>forecasts</vt:lpstr>
      <vt:lpstr>NH SimShift</vt:lpstr>
      <vt:lpstr>CountyPopChrt (2)</vt:lpstr>
      <vt:lpstr>CountyPopChrt</vt:lpstr>
      <vt:lpstr>CountyOwn</vt:lpstr>
      <vt:lpstr>CountyRent</vt:lpstr>
      <vt:lpstr>'1'!Print_Area</vt:lpstr>
      <vt:lpstr>'1 (10)'!Print_Area</vt:lpstr>
      <vt:lpstr>'1 (2)'!Print_Area</vt:lpstr>
      <vt:lpstr>'1 (3)'!Print_Area</vt:lpstr>
      <vt:lpstr>'1 (4)'!Print_Area</vt:lpstr>
      <vt:lpstr>'1 (5)'!Print_Area</vt:lpstr>
      <vt:lpstr>'1 (6)'!Print_Area</vt:lpstr>
      <vt:lpstr>'1 (7)'!Print_Area</vt:lpstr>
      <vt:lpstr>'1 (8)'!Print_Area</vt:lpstr>
      <vt:lpstr>'1 (9)'!Print_Area</vt:lpstr>
      <vt:lpstr>Model!Print_Area</vt:lpstr>
      <vt:lpstr>'NH SimShift'!Print_Area</vt:lpstr>
    </vt:vector>
  </TitlesOfParts>
  <Company>NHCPPS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ddelay</dc:creator>
  <cp:lastModifiedBy>Dan Smith</cp:lastModifiedBy>
  <cp:lastPrinted>2014-02-14T16:03:37Z</cp:lastPrinted>
  <dcterms:created xsi:type="dcterms:W3CDTF">2013-06-21T14:46:37Z</dcterms:created>
  <dcterms:modified xsi:type="dcterms:W3CDTF">2014-04-07T19:11:06Z</dcterms:modified>
</cp:coreProperties>
</file>