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5865" windowHeight="3705" tabRatio="986" activeTab="2"/>
  </bookViews>
  <sheets>
    <sheet name="Sheet1" sheetId="22" r:id="rId1"/>
    <sheet name="Chart1" sheetId="20" r:id="rId2"/>
    <sheet name="PRODUCTION NEED SUMMARY" sheetId="2" r:id="rId3"/>
    <sheet name="prod need components" sheetId="3" r:id="rId4"/>
    <sheet name="STATE TOTALS" sheetId="4" r:id="rId5"/>
    <sheet name="BELKNAP" sheetId="5" r:id="rId6"/>
    <sheet name="CARROLL" sheetId="6" r:id="rId7"/>
    <sheet name="CHESHIRE" sheetId="7" r:id="rId8"/>
    <sheet name="COOS" sheetId="8" r:id="rId9"/>
    <sheet name="GRAFTON" sheetId="9" r:id="rId10"/>
    <sheet name="HILLSBOROUGH" sheetId="10" r:id="rId11"/>
    <sheet name="MERRIMACK" sheetId="11" r:id="rId12"/>
    <sheet name="ROCKINGHAM" sheetId="12" r:id="rId13"/>
    <sheet name="STRAFFORD" sheetId="13" r:id="rId14"/>
    <sheet name="SULLIVAN" sheetId="14" r:id="rId15"/>
    <sheet name="mETHOD" sheetId="21" r:id="rId16"/>
    <sheet name="data sources by model line #" sheetId="19" r:id="rId17"/>
  </sheets>
  <definedNames>
    <definedName name="_xlnm.Print_Area" localSheetId="5">BELKNAP!$A$1:$I$138</definedName>
    <definedName name="_xlnm.Print_Area" localSheetId="6">CARROLL!$A$1:$I$138</definedName>
    <definedName name="_xlnm.Print_Area" localSheetId="7">CHESHIRE!$A$1:$I$137</definedName>
    <definedName name="_xlnm.Print_Area" localSheetId="8">COOS!$A$1:$I$137</definedName>
    <definedName name="_xlnm.Print_Area" localSheetId="9">GRAFTON!$A$1:$I$137</definedName>
    <definedName name="_xlnm.Print_Area" localSheetId="10">HILLSBOROUGH!$A$1:$I$137</definedName>
    <definedName name="_xlnm.Print_Area" localSheetId="11">MERRIMACK!$A$1:$I$137</definedName>
    <definedName name="_xlnm.Print_Area" localSheetId="2">'PRODUCTION NEED SUMMARY'!$B$3:$H$146</definedName>
    <definedName name="_xlnm.Print_Area" localSheetId="12">ROCKINGHAM!$A$1:$I$137</definedName>
    <definedName name="_xlnm.Print_Area" localSheetId="4">'STATE TOTALS'!$A$1:$I$138</definedName>
    <definedName name="_xlnm.Print_Area" localSheetId="13">STRAFFORD!$A$1:$I$137</definedName>
    <definedName name="_xlnm.Print_Area" localSheetId="14">SULLIVAN!$A$1:$I$137</definedName>
    <definedName name="_xlnm.Print_Titles" localSheetId="5">BELKNAP!$1:$1</definedName>
    <definedName name="_xlnm.Print_Titles" localSheetId="6">CARROLL!$1:$1</definedName>
    <definedName name="_xlnm.Print_Titles" localSheetId="7">CHESHIRE!$1:$1</definedName>
    <definedName name="_xlnm.Print_Titles" localSheetId="8">COOS!$1:$1</definedName>
    <definedName name="_xlnm.Print_Titles" localSheetId="9">GRAFTON!$1:$1</definedName>
    <definedName name="_xlnm.Print_Titles" localSheetId="10">HILLSBOROUGH!$1:$1</definedName>
    <definedName name="_xlnm.Print_Titles" localSheetId="11">MERRIMACK!$1:$1</definedName>
    <definedName name="_xlnm.Print_Titles" localSheetId="2">'PRODUCTION NEED SUMMARY'!$1:$3</definedName>
    <definedName name="_xlnm.Print_Titles" localSheetId="12">ROCKINGHAM!$1:$1</definedName>
    <definedName name="_xlnm.Print_Titles" localSheetId="4">'STATE TOTALS'!$1:$1</definedName>
    <definedName name="_xlnm.Print_Titles" localSheetId="13">STRAFFORD!$1:$1</definedName>
    <definedName name="_xlnm.Print_Titles" localSheetId="14">SULLIVAN!$1:$1</definedName>
  </definedNames>
  <calcPr calcId="145621" fullCalcOnLoad="1"/>
</workbook>
</file>

<file path=xl/calcChain.xml><?xml version="1.0" encoding="utf-8"?>
<calcChain xmlns="http://schemas.openxmlformats.org/spreadsheetml/2006/main">
  <c r="B159" i="2" l="1"/>
  <c r="B158" i="2"/>
  <c r="B157" i="2"/>
  <c r="B156" i="2"/>
  <c r="B155" i="2"/>
  <c r="B154" i="2"/>
  <c r="B153" i="2"/>
  <c r="B152" i="2"/>
  <c r="B151" i="2"/>
  <c r="B150" i="2"/>
  <c r="C5" i="5"/>
  <c r="C9" i="5" s="1"/>
  <c r="G9" i="5" s="1"/>
  <c r="G25" i="14"/>
  <c r="G25" i="13"/>
  <c r="G25" i="12"/>
  <c r="G25" i="11"/>
  <c r="G25" i="10"/>
  <c r="G25" i="9"/>
  <c r="G25" i="8"/>
  <c r="G25" i="7"/>
  <c r="G25" i="6"/>
  <c r="G5" i="4"/>
  <c r="E2" i="4"/>
  <c r="E4" i="5"/>
  <c r="E4" i="6"/>
  <c r="E4" i="7"/>
  <c r="E4" i="8"/>
  <c r="E4" i="9"/>
  <c r="E4" i="10"/>
  <c r="E4" i="11"/>
  <c r="E4" i="12"/>
  <c r="E4" i="13"/>
  <c r="E4" i="14"/>
  <c r="C118" i="4"/>
  <c r="C127" i="4"/>
  <c r="C119" i="4"/>
  <c r="C137" i="4" s="1"/>
  <c r="C128" i="4"/>
  <c r="C154" i="4" s="1"/>
  <c r="C117" i="4"/>
  <c r="C135" i="4" s="1"/>
  <c r="C126" i="4"/>
  <c r="C116" i="4"/>
  <c r="C125" i="4"/>
  <c r="C115" i="4"/>
  <c r="C124" i="4"/>
  <c r="C133" i="4"/>
  <c r="C161" i="4" s="1"/>
  <c r="E161" i="4" s="1"/>
  <c r="F161" i="4" s="1"/>
  <c r="C114" i="4"/>
  <c r="C123" i="4"/>
  <c r="C151" i="4" s="1"/>
  <c r="E151" i="4" s="1"/>
  <c r="F151" i="4" s="1"/>
  <c r="C113" i="4"/>
  <c r="C141" i="4" s="1"/>
  <c r="E141" i="4" s="1"/>
  <c r="F141" i="4" s="1"/>
  <c r="C122" i="4"/>
  <c r="C131" i="4"/>
  <c r="C155" i="4"/>
  <c r="E155" i="4"/>
  <c r="F155" i="4" s="1"/>
  <c r="E154" i="4"/>
  <c r="F154" i="4" s="1"/>
  <c r="C153" i="4"/>
  <c r="E153" i="4" s="1"/>
  <c r="F153" i="4" s="1"/>
  <c r="C152" i="4"/>
  <c r="E152" i="4" s="1"/>
  <c r="F152" i="4" s="1"/>
  <c r="C145" i="4"/>
  <c r="E145" i="4"/>
  <c r="F145" i="4" s="1"/>
  <c r="C142" i="4"/>
  <c r="E142" i="4" s="1"/>
  <c r="F142" i="4" s="1"/>
  <c r="C137" i="7"/>
  <c r="C165" i="7"/>
  <c r="E165" i="7"/>
  <c r="C136" i="7"/>
  <c r="C164" i="7" s="1"/>
  <c r="E164" i="7" s="1"/>
  <c r="F164" i="7" s="1"/>
  <c r="C135" i="7"/>
  <c r="C163" i="7"/>
  <c r="E163" i="7" s="1"/>
  <c r="F163" i="7" s="1"/>
  <c r="C134" i="7"/>
  <c r="C162" i="7" s="1"/>
  <c r="E162" i="7" s="1"/>
  <c r="F162" i="7" s="1"/>
  <c r="C133" i="7"/>
  <c r="C161" i="7"/>
  <c r="E161" i="7" s="1"/>
  <c r="F161" i="7" s="1"/>
  <c r="C132" i="7"/>
  <c r="C160" i="7" s="1"/>
  <c r="E160" i="7"/>
  <c r="F160" i="7" s="1"/>
  <c r="C131" i="7"/>
  <c r="C159" i="7" s="1"/>
  <c r="E159" i="7" s="1"/>
  <c r="F159" i="7" s="1"/>
  <c r="C156" i="7"/>
  <c r="E156" i="7"/>
  <c r="C155" i="7"/>
  <c r="E155" i="7" s="1"/>
  <c r="F155" i="7" s="1"/>
  <c r="C154" i="7"/>
  <c r="E154" i="7"/>
  <c r="F154" i="7" s="1"/>
  <c r="C153" i="7"/>
  <c r="E153" i="7" s="1"/>
  <c r="F153" i="7" s="1"/>
  <c r="C152" i="7"/>
  <c r="E152" i="7" s="1"/>
  <c r="F152" i="7" s="1"/>
  <c r="C151" i="7"/>
  <c r="E151" i="7" s="1"/>
  <c r="F151" i="7" s="1"/>
  <c r="C150" i="7"/>
  <c r="E150" i="7" s="1"/>
  <c r="F150" i="7" s="1"/>
  <c r="C147" i="7"/>
  <c r="E147" i="7" s="1"/>
  <c r="C146" i="7"/>
  <c r="E146" i="7"/>
  <c r="F146" i="7" s="1"/>
  <c r="C145" i="7"/>
  <c r="E145" i="7" s="1"/>
  <c r="F145" i="7" s="1"/>
  <c r="C144" i="7"/>
  <c r="E144" i="7"/>
  <c r="F144" i="7" s="1"/>
  <c r="C143" i="7"/>
  <c r="E143" i="7" s="1"/>
  <c r="F143" i="7" s="1"/>
  <c r="C142" i="7"/>
  <c r="E142" i="7" s="1"/>
  <c r="F142" i="7" s="1"/>
  <c r="C141" i="7"/>
  <c r="E141" i="7" s="1"/>
  <c r="F141" i="7" s="1"/>
  <c r="C165" i="4"/>
  <c r="E165" i="4"/>
  <c r="C156" i="4"/>
  <c r="E156" i="4" s="1"/>
  <c r="C147" i="4"/>
  <c r="E147" i="4"/>
  <c r="C139" i="5"/>
  <c r="E13" i="4"/>
  <c r="E16" i="4"/>
  <c r="G16" i="4"/>
  <c r="E62" i="4"/>
  <c r="E63" i="4"/>
  <c r="B5" i="5"/>
  <c r="B2" i="4"/>
  <c r="B4" i="4"/>
  <c r="B5" i="4"/>
  <c r="E15" i="14"/>
  <c r="E16" i="14"/>
  <c r="E15" i="13"/>
  <c r="E16" i="13" s="1"/>
  <c r="E15" i="12"/>
  <c r="E16" i="12"/>
  <c r="E15" i="11"/>
  <c r="E16" i="11" s="1"/>
  <c r="E15" i="10"/>
  <c r="E16" i="10"/>
  <c r="E15" i="9"/>
  <c r="E16" i="9" s="1"/>
  <c r="E15" i="8"/>
  <c r="E16" i="8" s="1"/>
  <c r="G16" i="8" s="1"/>
  <c r="E15" i="7"/>
  <c r="E16" i="7" s="1"/>
  <c r="E15" i="6"/>
  <c r="E16" i="6"/>
  <c r="E15" i="5"/>
  <c r="E16" i="5" s="1"/>
  <c r="I31" i="4"/>
  <c r="I29" i="4"/>
  <c r="I33" i="4"/>
  <c r="I30" i="4"/>
  <c r="I32" i="4"/>
  <c r="E31" i="4"/>
  <c r="E29" i="4"/>
  <c r="E32" i="4" s="1"/>
  <c r="E30" i="4"/>
  <c r="I24" i="12"/>
  <c r="I50" i="12" s="1"/>
  <c r="E24" i="12"/>
  <c r="E50" i="12" s="1"/>
  <c r="I24" i="10"/>
  <c r="I24" i="7"/>
  <c r="I24" i="5"/>
  <c r="E50" i="13"/>
  <c r="I47" i="14"/>
  <c r="I48" i="14"/>
  <c r="E47" i="14"/>
  <c r="E48" i="14" s="1"/>
  <c r="I36" i="14"/>
  <c r="E36" i="14"/>
  <c r="I33" i="14"/>
  <c r="I32" i="14"/>
  <c r="E33" i="14"/>
  <c r="E32" i="14"/>
  <c r="I24" i="14"/>
  <c r="I50" i="14" s="1"/>
  <c r="E24" i="14"/>
  <c r="E50" i="14" s="1"/>
  <c r="E68" i="4"/>
  <c r="C68" i="4"/>
  <c r="F68" i="4"/>
  <c r="E66" i="4"/>
  <c r="C66" i="4"/>
  <c r="E65" i="4"/>
  <c r="F65" i="4" s="1"/>
  <c r="C65" i="4"/>
  <c r="C64" i="4"/>
  <c r="F68" i="14"/>
  <c r="F66" i="14"/>
  <c r="F65" i="14"/>
  <c r="F64" i="14"/>
  <c r="F63" i="14"/>
  <c r="F62" i="14"/>
  <c r="F68" i="13"/>
  <c r="F66" i="13"/>
  <c r="F65" i="13"/>
  <c r="F64" i="13"/>
  <c r="F63" i="13"/>
  <c r="F62" i="13"/>
  <c r="I47" i="13"/>
  <c r="I48" i="13"/>
  <c r="E47" i="13"/>
  <c r="E48" i="13" s="1"/>
  <c r="I36" i="13"/>
  <c r="E36" i="13"/>
  <c r="I33" i="13"/>
  <c r="I32" i="13"/>
  <c r="E33" i="13"/>
  <c r="E32" i="13"/>
  <c r="I24" i="13"/>
  <c r="I50" i="13" s="1"/>
  <c r="E24" i="13"/>
  <c r="F68" i="12"/>
  <c r="F66" i="12"/>
  <c r="F65" i="12"/>
  <c r="F64" i="12"/>
  <c r="F63" i="12"/>
  <c r="F62" i="12"/>
  <c r="I47" i="12"/>
  <c r="I48" i="12" s="1"/>
  <c r="E47" i="12"/>
  <c r="E48" i="12" s="1"/>
  <c r="I36" i="12"/>
  <c r="E36" i="12"/>
  <c r="I33" i="12"/>
  <c r="I32" i="12"/>
  <c r="E33" i="12"/>
  <c r="E32" i="12"/>
  <c r="F68" i="10"/>
  <c r="F66" i="10"/>
  <c r="F65" i="10"/>
  <c r="F64" i="10"/>
  <c r="F63" i="10"/>
  <c r="F62" i="10"/>
  <c r="F68" i="9"/>
  <c r="F66" i="9"/>
  <c r="F65" i="9"/>
  <c r="F64" i="9"/>
  <c r="F63" i="9"/>
  <c r="F62" i="9"/>
  <c r="I47" i="10"/>
  <c r="I48" i="10" s="1"/>
  <c r="E47" i="10"/>
  <c r="E48" i="10"/>
  <c r="I36" i="10"/>
  <c r="G36" i="10" s="1"/>
  <c r="E36" i="10"/>
  <c r="E24" i="10"/>
  <c r="E50" i="10" s="1"/>
  <c r="E52" i="10" s="1"/>
  <c r="E53" i="10" s="1"/>
  <c r="E47" i="9"/>
  <c r="E48" i="9" s="1"/>
  <c r="I36" i="9"/>
  <c r="E36" i="9"/>
  <c r="I33" i="9"/>
  <c r="I32" i="9"/>
  <c r="E33" i="9"/>
  <c r="E32" i="9"/>
  <c r="I26" i="9"/>
  <c r="I24" i="9"/>
  <c r="E24" i="9"/>
  <c r="E50" i="9" s="1"/>
  <c r="I47" i="8"/>
  <c r="I48" i="8"/>
  <c r="E47" i="8"/>
  <c r="E48" i="8"/>
  <c r="I36" i="8"/>
  <c r="E36" i="8"/>
  <c r="I33" i="8"/>
  <c r="I32" i="8"/>
  <c r="E33" i="8"/>
  <c r="E32" i="8"/>
  <c r="I24" i="8"/>
  <c r="I50" i="8" s="1"/>
  <c r="E24" i="8"/>
  <c r="E50" i="8" s="1"/>
  <c r="E57" i="8"/>
  <c r="E82" i="8"/>
  <c r="E71" i="8" s="1"/>
  <c r="E56" i="8"/>
  <c r="E81" i="8" s="1"/>
  <c r="E70" i="8" s="1"/>
  <c r="F68" i="8"/>
  <c r="F66" i="8"/>
  <c r="F65" i="8"/>
  <c r="F64" i="8"/>
  <c r="F63" i="8"/>
  <c r="F62" i="8"/>
  <c r="F68" i="7"/>
  <c r="F66" i="7"/>
  <c r="F65" i="7"/>
  <c r="F64" i="7"/>
  <c r="F63" i="7"/>
  <c r="F62" i="7"/>
  <c r="I48" i="7"/>
  <c r="I47" i="7"/>
  <c r="E48" i="7"/>
  <c r="E47" i="7"/>
  <c r="I36" i="7"/>
  <c r="E36" i="7"/>
  <c r="I33" i="7"/>
  <c r="I32" i="7"/>
  <c r="E33" i="7"/>
  <c r="E32" i="7"/>
  <c r="E24" i="7"/>
  <c r="F68" i="6"/>
  <c r="F66" i="6"/>
  <c r="F65" i="6"/>
  <c r="F64" i="6"/>
  <c r="F63" i="6"/>
  <c r="F62" i="6"/>
  <c r="I48" i="6"/>
  <c r="I47" i="6"/>
  <c r="E48" i="6"/>
  <c r="E47" i="6"/>
  <c r="I36" i="6"/>
  <c r="E36" i="6"/>
  <c r="E50" i="6" s="1"/>
  <c r="E37" i="6" s="1"/>
  <c r="I33" i="6"/>
  <c r="I32" i="6"/>
  <c r="E33" i="6"/>
  <c r="E32" i="6"/>
  <c r="I24" i="6"/>
  <c r="I50" i="5"/>
  <c r="I48" i="5"/>
  <c r="I47" i="5"/>
  <c r="E48" i="5"/>
  <c r="E47" i="5"/>
  <c r="I36" i="5"/>
  <c r="I39" i="5" s="1"/>
  <c r="E36" i="5"/>
  <c r="I33" i="5"/>
  <c r="I32" i="5"/>
  <c r="E33" i="5"/>
  <c r="E32" i="5"/>
  <c r="E24" i="5"/>
  <c r="E50" i="5" s="1"/>
  <c r="F68" i="5"/>
  <c r="F66" i="5"/>
  <c r="F65" i="5"/>
  <c r="F64" i="5"/>
  <c r="F63" i="5"/>
  <c r="F62" i="5"/>
  <c r="F68" i="11"/>
  <c r="F66" i="11"/>
  <c r="F65" i="11"/>
  <c r="F64" i="11"/>
  <c r="F63" i="11"/>
  <c r="F62" i="11"/>
  <c r="E67" i="11"/>
  <c r="E64" i="11"/>
  <c r="E64" i="4" s="1"/>
  <c r="F64" i="4" s="1"/>
  <c r="I47" i="11"/>
  <c r="I48" i="11" s="1"/>
  <c r="I33" i="11"/>
  <c r="I32" i="11"/>
  <c r="E47" i="11"/>
  <c r="E48" i="11" s="1"/>
  <c r="E33" i="11"/>
  <c r="E32" i="11"/>
  <c r="I50" i="11"/>
  <c r="I36" i="11"/>
  <c r="E36" i="11"/>
  <c r="I24" i="11"/>
  <c r="E24" i="11"/>
  <c r="E50" i="11" s="1"/>
  <c r="I55" i="11"/>
  <c r="I56" i="11"/>
  <c r="I55" i="5"/>
  <c r="I57" i="5" s="1"/>
  <c r="I56" i="5"/>
  <c r="I55" i="6"/>
  <c r="I56" i="6"/>
  <c r="I57" i="6"/>
  <c r="I55" i="7"/>
  <c r="I56" i="7"/>
  <c r="I57" i="7"/>
  <c r="I55" i="8"/>
  <c r="I57" i="8" s="1"/>
  <c r="I56" i="8"/>
  <c r="I55" i="9"/>
  <c r="I55" i="10"/>
  <c r="I55" i="12"/>
  <c r="I57" i="12" s="1"/>
  <c r="I56" i="12"/>
  <c r="I55" i="13"/>
  <c r="I56" i="13"/>
  <c r="I55" i="14"/>
  <c r="I56" i="14"/>
  <c r="I57" i="14" s="1"/>
  <c r="E57" i="11"/>
  <c r="E57" i="6"/>
  <c r="E57" i="7"/>
  <c r="E57" i="9"/>
  <c r="E57" i="12"/>
  <c r="E57" i="13"/>
  <c r="E57" i="14"/>
  <c r="E9" i="5"/>
  <c r="B45" i="5"/>
  <c r="B46" i="5"/>
  <c r="B41" i="5"/>
  <c r="B29" i="5" s="1"/>
  <c r="C45" i="5"/>
  <c r="C30" i="5" s="1"/>
  <c r="C46" i="5"/>
  <c r="E21" i="5"/>
  <c r="H32" i="5"/>
  <c r="H41" i="5"/>
  <c r="H46" i="5" s="1"/>
  <c r="H47" i="5"/>
  <c r="H45" i="5" s="1"/>
  <c r="E9" i="6"/>
  <c r="B29" i="6"/>
  <c r="B21" i="6" s="1"/>
  <c r="C29" i="6"/>
  <c r="C21" i="6" s="1"/>
  <c r="E21" i="6"/>
  <c r="H32" i="6"/>
  <c r="G32" i="6" s="1"/>
  <c r="G33" i="6" s="1"/>
  <c r="H41" i="6"/>
  <c r="H47" i="6"/>
  <c r="E9" i="7"/>
  <c r="B21" i="7"/>
  <c r="G21" i="7" s="1"/>
  <c r="H21" i="7" s="1"/>
  <c r="C21" i="7"/>
  <c r="E21" i="7"/>
  <c r="H32" i="7"/>
  <c r="G32" i="7" s="1"/>
  <c r="G33" i="7" s="1"/>
  <c r="H38" i="7"/>
  <c r="I39" i="7"/>
  <c r="I43" i="7" s="1"/>
  <c r="H43" i="7"/>
  <c r="H47" i="7"/>
  <c r="E9" i="8"/>
  <c r="B29" i="8"/>
  <c r="B21" i="8" s="1"/>
  <c r="C29" i="8"/>
  <c r="C21" i="8"/>
  <c r="E21" i="8"/>
  <c r="H32" i="8"/>
  <c r="G32" i="8" s="1"/>
  <c r="G33" i="8" s="1"/>
  <c r="H36" i="8"/>
  <c r="H38" i="8"/>
  <c r="I39" i="8"/>
  <c r="I43" i="8" s="1"/>
  <c r="H43" i="8" s="1"/>
  <c r="G43" i="8" s="1"/>
  <c r="H47" i="8"/>
  <c r="E9" i="9"/>
  <c r="B21" i="9"/>
  <c r="C21" i="9"/>
  <c r="E21" i="9"/>
  <c r="H32" i="9"/>
  <c r="G32" i="9" s="1"/>
  <c r="G33" i="9" s="1"/>
  <c r="H36" i="9"/>
  <c r="H38" i="9"/>
  <c r="I39" i="9"/>
  <c r="I43" i="9"/>
  <c r="H43" i="9"/>
  <c r="G43" i="9" s="1"/>
  <c r="E9" i="10"/>
  <c r="B21" i="10"/>
  <c r="C21" i="10"/>
  <c r="E21" i="10"/>
  <c r="H36" i="10"/>
  <c r="H38" i="10"/>
  <c r="I39" i="10"/>
  <c r="I43" i="10"/>
  <c r="H43" i="10" s="1"/>
  <c r="G43" i="10" s="1"/>
  <c r="H47" i="10"/>
  <c r="E9" i="11"/>
  <c r="B21" i="11"/>
  <c r="C21" i="11"/>
  <c r="E21" i="11"/>
  <c r="H32" i="11"/>
  <c r="G32" i="11" s="1"/>
  <c r="G33" i="11" s="1"/>
  <c r="H36" i="11"/>
  <c r="H38" i="11"/>
  <c r="I39" i="11"/>
  <c r="I43" i="11" s="1"/>
  <c r="H43" i="11" s="1"/>
  <c r="G43" i="11" s="1"/>
  <c r="H47" i="11"/>
  <c r="E9" i="12"/>
  <c r="B21" i="12"/>
  <c r="C21" i="12"/>
  <c r="E21" i="12"/>
  <c r="H32" i="12"/>
  <c r="G32" i="12" s="1"/>
  <c r="G33" i="12" s="1"/>
  <c r="H36" i="12"/>
  <c r="H38" i="12"/>
  <c r="I39" i="12"/>
  <c r="I43" i="12"/>
  <c r="H43" i="12"/>
  <c r="H47" i="12"/>
  <c r="E9" i="13"/>
  <c r="B21" i="13"/>
  <c r="G21" i="13" s="1"/>
  <c r="H21" i="13" s="1"/>
  <c r="C21" i="13"/>
  <c r="E21" i="13"/>
  <c r="H32" i="13"/>
  <c r="G32" i="13" s="1"/>
  <c r="G33" i="13" s="1"/>
  <c r="H36" i="13"/>
  <c r="H39" i="13" s="1"/>
  <c r="H38" i="13"/>
  <c r="I39" i="13"/>
  <c r="I43" i="13"/>
  <c r="H43" i="13"/>
  <c r="G43" i="13" s="1"/>
  <c r="H47" i="13"/>
  <c r="G47" i="13" s="1"/>
  <c r="E9" i="14"/>
  <c r="B21" i="14"/>
  <c r="C21" i="14"/>
  <c r="E21" i="14"/>
  <c r="H32" i="14"/>
  <c r="G32" i="14" s="1"/>
  <c r="G33" i="14" s="1"/>
  <c r="H36" i="14"/>
  <c r="H38" i="14"/>
  <c r="I39" i="14"/>
  <c r="I43" i="14"/>
  <c r="H43" i="14" s="1"/>
  <c r="G43" i="14" s="1"/>
  <c r="H47" i="14"/>
  <c r="G32" i="5"/>
  <c r="G41" i="5"/>
  <c r="G47" i="5"/>
  <c r="G45" i="5" s="1"/>
  <c r="G46" i="5"/>
  <c r="G41" i="6"/>
  <c r="G38" i="7"/>
  <c r="G43" i="7"/>
  <c r="G47" i="7"/>
  <c r="G36" i="8"/>
  <c r="G39" i="8" s="1"/>
  <c r="G38" i="8"/>
  <c r="G47" i="8"/>
  <c r="G36" i="9"/>
  <c r="G38" i="9"/>
  <c r="G38" i="10"/>
  <c r="G39" i="10" s="1"/>
  <c r="G41" i="10" s="1"/>
  <c r="G47" i="10"/>
  <c r="G36" i="11"/>
  <c r="G38" i="11"/>
  <c r="G39" i="11"/>
  <c r="G47" i="11"/>
  <c r="G36" i="12"/>
  <c r="G38" i="12"/>
  <c r="G43" i="12"/>
  <c r="G36" i="13"/>
  <c r="G39" i="13" s="1"/>
  <c r="G41" i="13" s="1"/>
  <c r="G38" i="13"/>
  <c r="G36" i="14"/>
  <c r="G38" i="14"/>
  <c r="G39" i="14"/>
  <c r="G47" i="14"/>
  <c r="C57" i="10"/>
  <c r="C57" i="12"/>
  <c r="C57" i="4" s="1"/>
  <c r="C106" i="4" s="1"/>
  <c r="B57" i="10"/>
  <c r="B57" i="12"/>
  <c r="B57" i="4" s="1"/>
  <c r="B106" i="4" s="1"/>
  <c r="E56" i="11"/>
  <c r="E56" i="6"/>
  <c r="E56" i="7"/>
  <c r="E56" i="9"/>
  <c r="E56" i="12"/>
  <c r="E56" i="13"/>
  <c r="E81" i="13" s="1"/>
  <c r="E56" i="14"/>
  <c r="C56" i="10"/>
  <c r="C56" i="12"/>
  <c r="C56" i="4"/>
  <c r="C105" i="4" s="1"/>
  <c r="D105" i="4" s="1"/>
  <c r="B56" i="10"/>
  <c r="B56" i="12"/>
  <c r="B56" i="4"/>
  <c r="B105" i="4" s="1"/>
  <c r="I55" i="4"/>
  <c r="I104" i="4" s="1"/>
  <c r="E55" i="11"/>
  <c r="E55" i="6"/>
  <c r="E55" i="7"/>
  <c r="E55" i="8"/>
  <c r="E55" i="9"/>
  <c r="E55" i="10"/>
  <c r="E55" i="12"/>
  <c r="E55" i="13"/>
  <c r="E55" i="14"/>
  <c r="C55" i="10"/>
  <c r="C55" i="4" s="1"/>
  <c r="C55" i="12"/>
  <c r="C104" i="4"/>
  <c r="B55" i="10"/>
  <c r="B55" i="12"/>
  <c r="C46" i="4"/>
  <c r="C102" i="4" s="1"/>
  <c r="B46" i="4"/>
  <c r="B102" i="4" s="1"/>
  <c r="D102" i="4" s="1"/>
  <c r="C45" i="7"/>
  <c r="C45" i="4"/>
  <c r="C101" i="4" s="1"/>
  <c r="D101" i="4" s="1"/>
  <c r="B45" i="4"/>
  <c r="B101" i="4" s="1"/>
  <c r="I41" i="4"/>
  <c r="I100" i="4" s="1"/>
  <c r="B41" i="4"/>
  <c r="B100" i="4" s="1"/>
  <c r="C31" i="5"/>
  <c r="C31" i="6"/>
  <c r="C30" i="8"/>
  <c r="B31" i="5"/>
  <c r="B31" i="4" s="1"/>
  <c r="B98" i="4" s="1"/>
  <c r="B31" i="6"/>
  <c r="C30" i="6"/>
  <c r="C30" i="4" s="1"/>
  <c r="C97" i="4" s="1"/>
  <c r="B30" i="5"/>
  <c r="B30" i="6"/>
  <c r="B30" i="4" s="1"/>
  <c r="B97" i="4" s="1"/>
  <c r="I96" i="4"/>
  <c r="M96" i="4" s="1"/>
  <c r="E96" i="4"/>
  <c r="H70" i="14"/>
  <c r="I70" i="14"/>
  <c r="I62" i="14" s="1"/>
  <c r="E81" i="14"/>
  <c r="E83" i="14" s="1"/>
  <c r="H71" i="14"/>
  <c r="I71" i="14"/>
  <c r="E82" i="14"/>
  <c r="G76" i="14" s="1"/>
  <c r="H76" i="14" s="1"/>
  <c r="I76" i="14" s="1"/>
  <c r="H70" i="13"/>
  <c r="I70" i="13" s="1"/>
  <c r="I62" i="13" s="1"/>
  <c r="H71" i="13"/>
  <c r="I71" i="13" s="1"/>
  <c r="E82" i="13"/>
  <c r="E71" i="13" s="1"/>
  <c r="G76" i="13"/>
  <c r="H76" i="13" s="1"/>
  <c r="I76" i="13" s="1"/>
  <c r="H70" i="12"/>
  <c r="I70" i="12"/>
  <c r="I62" i="12" s="1"/>
  <c r="E81" i="12"/>
  <c r="E70" i="12" s="1"/>
  <c r="H71" i="12"/>
  <c r="I71" i="12"/>
  <c r="E82" i="12"/>
  <c r="E71" i="12" s="1"/>
  <c r="E83" i="12"/>
  <c r="H70" i="11"/>
  <c r="I70" i="11" s="1"/>
  <c r="I62" i="11" s="1"/>
  <c r="I81" i="11" s="1"/>
  <c r="E81" i="11"/>
  <c r="E70" i="11" s="1"/>
  <c r="G75" i="11"/>
  <c r="H75" i="11" s="1"/>
  <c r="I75" i="11" s="1"/>
  <c r="H71" i="11"/>
  <c r="I71" i="11" s="1"/>
  <c r="E82" i="11"/>
  <c r="E71" i="11" s="1"/>
  <c r="G76" i="11"/>
  <c r="H76" i="11" s="1"/>
  <c r="I76" i="11" s="1"/>
  <c r="H70" i="10"/>
  <c r="I70" i="10"/>
  <c r="H71" i="10"/>
  <c r="I71" i="10"/>
  <c r="H70" i="9"/>
  <c r="I70" i="9"/>
  <c r="E81" i="9"/>
  <c r="E70" i="9" s="1"/>
  <c r="G75" i="9"/>
  <c r="H75" i="9" s="1"/>
  <c r="I75" i="9" s="1"/>
  <c r="H71" i="9"/>
  <c r="I71" i="9"/>
  <c r="E82" i="9"/>
  <c r="E71" i="9" s="1"/>
  <c r="G76" i="9"/>
  <c r="H76" i="9" s="1"/>
  <c r="I76" i="9"/>
  <c r="H70" i="8"/>
  <c r="I70" i="8" s="1"/>
  <c r="I62" i="8" s="1"/>
  <c r="I81" i="8" s="1"/>
  <c r="G75" i="8"/>
  <c r="H75" i="8"/>
  <c r="I75" i="8" s="1"/>
  <c r="H71" i="8"/>
  <c r="I71" i="8"/>
  <c r="I63" i="8" s="1"/>
  <c r="G76" i="8"/>
  <c r="H76" i="8" s="1"/>
  <c r="I76" i="8" s="1"/>
  <c r="E83" i="8"/>
  <c r="H70" i="7"/>
  <c r="I70" i="7"/>
  <c r="I62" i="7" s="1"/>
  <c r="E81" i="7"/>
  <c r="H71" i="7"/>
  <c r="I71" i="7"/>
  <c r="I63" i="7" s="1"/>
  <c r="E82" i="7"/>
  <c r="A20" i="19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3" i="19"/>
  <c r="A4" i="19"/>
  <c r="A5" i="19" s="1"/>
  <c r="A6" i="19"/>
  <c r="A7" i="19" s="1"/>
  <c r="A8" i="19" s="1"/>
  <c r="A9" i="19" s="1"/>
  <c r="A10" i="19"/>
  <c r="A11" i="19" s="1"/>
  <c r="A12" i="19" s="1"/>
  <c r="A13" i="19" s="1"/>
  <c r="E8" i="4"/>
  <c r="E11" i="4" s="1"/>
  <c r="C8" i="4"/>
  <c r="C2" i="4"/>
  <c r="C4" i="4"/>
  <c r="C5" i="4"/>
  <c r="C9" i="4" s="1"/>
  <c r="B8" i="4"/>
  <c r="B9" i="4" s="1"/>
  <c r="C9" i="14"/>
  <c r="G9" i="14" s="1"/>
  <c r="B9" i="14"/>
  <c r="E18" i="13"/>
  <c r="E18" i="12"/>
  <c r="E18" i="11"/>
  <c r="C9" i="12"/>
  <c r="G9" i="12" s="1"/>
  <c r="B9" i="12"/>
  <c r="C9" i="11"/>
  <c r="G9" i="11" s="1"/>
  <c r="B9" i="11"/>
  <c r="E18" i="10"/>
  <c r="C9" i="10"/>
  <c r="G9" i="10" s="1"/>
  <c r="B9" i="10"/>
  <c r="E18" i="9"/>
  <c r="C9" i="9"/>
  <c r="G9" i="9" s="1"/>
  <c r="B9" i="9"/>
  <c r="E18" i="8"/>
  <c r="C9" i="8"/>
  <c r="G9" i="8" s="1"/>
  <c r="B9" i="8"/>
  <c r="E18" i="7"/>
  <c r="C9" i="7"/>
  <c r="G9" i="7" s="1"/>
  <c r="B9" i="7"/>
  <c r="E18" i="6"/>
  <c r="C9" i="6"/>
  <c r="G9" i="6" s="1"/>
  <c r="B9" i="6"/>
  <c r="B9" i="5"/>
  <c r="C9" i="13"/>
  <c r="G9" i="13" s="1"/>
  <c r="B9" i="13"/>
  <c r="E11" i="14"/>
  <c r="G11" i="14" s="1"/>
  <c r="G16" i="14"/>
  <c r="G16" i="13"/>
  <c r="E11" i="13"/>
  <c r="G11" i="13" s="1"/>
  <c r="G16" i="12"/>
  <c r="E11" i="12"/>
  <c r="G11" i="12"/>
  <c r="E11" i="11"/>
  <c r="G11" i="11" s="1"/>
  <c r="G16" i="11"/>
  <c r="G16" i="10"/>
  <c r="G16" i="9"/>
  <c r="E11" i="9"/>
  <c r="G11" i="9"/>
  <c r="E11" i="8"/>
  <c r="G11" i="8"/>
  <c r="E11" i="7"/>
  <c r="G11" i="7"/>
  <c r="E11" i="6"/>
  <c r="G11" i="6"/>
  <c r="E11" i="5"/>
  <c r="G11" i="5"/>
  <c r="E11" i="10"/>
  <c r="G11" i="10"/>
  <c r="G16" i="7"/>
  <c r="G16" i="6"/>
  <c r="G16" i="5"/>
  <c r="H16" i="5" s="1"/>
  <c r="E26" i="13"/>
  <c r="E27" i="13" s="1"/>
  <c r="E26" i="8"/>
  <c r="E27" i="8" s="1"/>
  <c r="E51" i="13"/>
  <c r="E52" i="13" s="1"/>
  <c r="E53" i="13" s="1"/>
  <c r="E51" i="5"/>
  <c r="E51" i="4" s="1"/>
  <c r="E51" i="6"/>
  <c r="E51" i="7"/>
  <c r="E51" i="8"/>
  <c r="E51" i="9"/>
  <c r="E51" i="10"/>
  <c r="E51" i="11"/>
  <c r="E51" i="12"/>
  <c r="E51" i="14"/>
  <c r="E52" i="14" s="1"/>
  <c r="E53" i="14" s="1"/>
  <c r="E82" i="6"/>
  <c r="E71" i="6" s="1"/>
  <c r="G76" i="6"/>
  <c r="H76" i="6"/>
  <c r="I76" i="6" s="1"/>
  <c r="H71" i="5"/>
  <c r="I71" i="5"/>
  <c r="I63" i="5"/>
  <c r="H71" i="6"/>
  <c r="I71" i="6" s="1"/>
  <c r="I63" i="6" s="1"/>
  <c r="I82" i="6" s="1"/>
  <c r="I87" i="6" s="1"/>
  <c r="E81" i="6"/>
  <c r="E70" i="6" s="1"/>
  <c r="G75" i="6"/>
  <c r="H75" i="6" s="1"/>
  <c r="I75" i="6" s="1"/>
  <c r="H70" i="5"/>
  <c r="I70" i="5"/>
  <c r="I62" i="5" s="1"/>
  <c r="H70" i="6"/>
  <c r="I70" i="6"/>
  <c r="I62" i="6"/>
  <c r="C13" i="4"/>
  <c r="C16" i="4" s="1"/>
  <c r="C81" i="14"/>
  <c r="C82" i="14"/>
  <c r="C83" i="14"/>
  <c r="C81" i="13"/>
  <c r="C83" i="13" s="1"/>
  <c r="C82" i="13"/>
  <c r="C81" i="12"/>
  <c r="C82" i="12"/>
  <c r="C83" i="12"/>
  <c r="C81" i="11"/>
  <c r="C83" i="11" s="1"/>
  <c r="C82" i="11"/>
  <c r="C81" i="10"/>
  <c r="C82" i="10"/>
  <c r="C83" i="10" s="1"/>
  <c r="C81" i="9"/>
  <c r="C82" i="9"/>
  <c r="C83" i="9"/>
  <c r="C81" i="8"/>
  <c r="C83" i="8" s="1"/>
  <c r="C82" i="8"/>
  <c r="C81" i="7"/>
  <c r="C82" i="7"/>
  <c r="C83" i="7"/>
  <c r="C15" i="6"/>
  <c r="C16" i="6" s="1"/>
  <c r="E83" i="6"/>
  <c r="C15" i="5"/>
  <c r="C16" i="5" s="1"/>
  <c r="H11" i="7"/>
  <c r="H25" i="8"/>
  <c r="E39" i="14"/>
  <c r="E43" i="14"/>
  <c r="E26" i="14"/>
  <c r="E39" i="13"/>
  <c r="E43" i="13" s="1"/>
  <c r="E26" i="12"/>
  <c r="E27" i="12"/>
  <c r="E52" i="12"/>
  <c r="E53" i="12" s="1"/>
  <c r="E39" i="12"/>
  <c r="E43" i="12"/>
  <c r="E52" i="11"/>
  <c r="E53" i="11" s="1"/>
  <c r="E39" i="11"/>
  <c r="E43" i="11"/>
  <c r="E26" i="11"/>
  <c r="E27" i="11" s="1"/>
  <c r="E39" i="10"/>
  <c r="E43" i="10" s="1"/>
  <c r="I26" i="8"/>
  <c r="I27" i="8"/>
  <c r="H27" i="8"/>
  <c r="E26" i="10"/>
  <c r="E52" i="9"/>
  <c r="E53" i="9" s="1"/>
  <c r="E39" i="9"/>
  <c r="E43" i="9"/>
  <c r="E26" i="9"/>
  <c r="E27" i="9" s="1"/>
  <c r="E39" i="8"/>
  <c r="E43" i="8"/>
  <c r="E37" i="8"/>
  <c r="E26" i="7"/>
  <c r="E27" i="7" s="1"/>
  <c r="E39" i="7"/>
  <c r="E43" i="7"/>
  <c r="E52" i="6"/>
  <c r="E53" i="6" s="1"/>
  <c r="E39" i="6"/>
  <c r="E43" i="6"/>
  <c r="E26" i="6"/>
  <c r="E39" i="5"/>
  <c r="E26" i="5"/>
  <c r="E27" i="5"/>
  <c r="C47" i="14"/>
  <c r="C48" i="14" s="1"/>
  <c r="E42" i="8"/>
  <c r="I106" i="14"/>
  <c r="M106" i="14" s="1"/>
  <c r="C32" i="14"/>
  <c r="C51" i="14"/>
  <c r="I26" i="14"/>
  <c r="I27" i="14"/>
  <c r="H27" i="14" s="1"/>
  <c r="C26" i="14"/>
  <c r="C27" i="14"/>
  <c r="C39" i="14"/>
  <c r="C43" i="14" s="1"/>
  <c r="E106" i="14"/>
  <c r="C106" i="14"/>
  <c r="D106" i="14" s="1"/>
  <c r="B106" i="14"/>
  <c r="I105" i="14"/>
  <c r="E105" i="14"/>
  <c r="M105" i="14" s="1"/>
  <c r="C105" i="14"/>
  <c r="B105" i="14"/>
  <c r="D105" i="14"/>
  <c r="I104" i="14"/>
  <c r="M104" i="14" s="1"/>
  <c r="E104" i="14"/>
  <c r="C104" i="14"/>
  <c r="D104" i="14" s="1"/>
  <c r="B104" i="14"/>
  <c r="I102" i="14"/>
  <c r="E102" i="14"/>
  <c r="M102" i="14" s="1"/>
  <c r="C102" i="14"/>
  <c r="B102" i="14"/>
  <c r="D102" i="14"/>
  <c r="I101" i="14"/>
  <c r="M101" i="14" s="1"/>
  <c r="E101" i="14"/>
  <c r="C101" i="14"/>
  <c r="D101" i="14" s="1"/>
  <c r="B101" i="14"/>
  <c r="I100" i="14"/>
  <c r="E100" i="14"/>
  <c r="M100" i="14" s="1"/>
  <c r="C100" i="14"/>
  <c r="B100" i="14"/>
  <c r="D100" i="14"/>
  <c r="I98" i="14"/>
  <c r="M98" i="14" s="1"/>
  <c r="E98" i="14"/>
  <c r="C98" i="14"/>
  <c r="D98" i="14" s="1"/>
  <c r="B98" i="14"/>
  <c r="I97" i="14"/>
  <c r="E97" i="14"/>
  <c r="M97" i="14" s="1"/>
  <c r="C97" i="14"/>
  <c r="B97" i="14"/>
  <c r="D97" i="14"/>
  <c r="I96" i="14"/>
  <c r="M96" i="14" s="1"/>
  <c r="E96" i="14"/>
  <c r="C96" i="14"/>
  <c r="D96" i="14" s="1"/>
  <c r="B96" i="14"/>
  <c r="C32" i="13"/>
  <c r="C51" i="13"/>
  <c r="I26" i="13"/>
  <c r="I27" i="13"/>
  <c r="H27" i="13"/>
  <c r="C26" i="13"/>
  <c r="C27" i="13" s="1"/>
  <c r="C36" i="13"/>
  <c r="C39" i="13"/>
  <c r="C43" i="13" s="1"/>
  <c r="C47" i="13"/>
  <c r="E106" i="13"/>
  <c r="C106" i="13"/>
  <c r="D106" i="13" s="1"/>
  <c r="B106" i="13"/>
  <c r="I105" i="13"/>
  <c r="M105" i="13" s="1"/>
  <c r="E105" i="13"/>
  <c r="C105" i="13"/>
  <c r="B105" i="13"/>
  <c r="D105" i="13" s="1"/>
  <c r="I104" i="13"/>
  <c r="E104" i="13"/>
  <c r="M104" i="13"/>
  <c r="C104" i="13"/>
  <c r="D104" i="13" s="1"/>
  <c r="B104" i="13"/>
  <c r="I102" i="13"/>
  <c r="M102" i="13" s="1"/>
  <c r="E102" i="13"/>
  <c r="C102" i="13"/>
  <c r="B102" i="13"/>
  <c r="D102" i="13" s="1"/>
  <c r="I101" i="13"/>
  <c r="E101" i="13"/>
  <c r="M101" i="13"/>
  <c r="C101" i="13"/>
  <c r="D101" i="13" s="1"/>
  <c r="B101" i="13"/>
  <c r="I100" i="13"/>
  <c r="M100" i="13" s="1"/>
  <c r="E100" i="13"/>
  <c r="G100" i="13"/>
  <c r="K100" i="13" s="1"/>
  <c r="C100" i="13"/>
  <c r="B100" i="13"/>
  <c r="D100" i="13" s="1"/>
  <c r="I98" i="13"/>
  <c r="E98" i="13"/>
  <c r="M98" i="13"/>
  <c r="C98" i="13"/>
  <c r="D98" i="13" s="1"/>
  <c r="B98" i="13"/>
  <c r="I97" i="13"/>
  <c r="M97" i="13" s="1"/>
  <c r="E97" i="13"/>
  <c r="C97" i="13"/>
  <c r="B97" i="13"/>
  <c r="D97" i="13" s="1"/>
  <c r="I96" i="13"/>
  <c r="E96" i="13"/>
  <c r="M96" i="13"/>
  <c r="C96" i="13"/>
  <c r="D96" i="13" s="1"/>
  <c r="B96" i="13"/>
  <c r="I106" i="12"/>
  <c r="C32" i="12"/>
  <c r="C51" i="12"/>
  <c r="I26" i="12"/>
  <c r="I27" i="12"/>
  <c r="H27" i="12" s="1"/>
  <c r="C26" i="12"/>
  <c r="C27" i="12"/>
  <c r="C39" i="12"/>
  <c r="C43" i="12" s="1"/>
  <c r="C47" i="12"/>
  <c r="E106" i="12"/>
  <c r="M106" i="12"/>
  <c r="C106" i="12"/>
  <c r="D106" i="12" s="1"/>
  <c r="B106" i="12"/>
  <c r="I105" i="12"/>
  <c r="M105" i="12" s="1"/>
  <c r="E105" i="12"/>
  <c r="C105" i="12"/>
  <c r="B105" i="12"/>
  <c r="D105" i="12" s="1"/>
  <c r="I104" i="12"/>
  <c r="E104" i="12"/>
  <c r="M104" i="12"/>
  <c r="C104" i="12"/>
  <c r="D104" i="12" s="1"/>
  <c r="B104" i="12"/>
  <c r="I102" i="12"/>
  <c r="M102" i="12" s="1"/>
  <c r="E102" i="12"/>
  <c r="C102" i="12"/>
  <c r="B102" i="12"/>
  <c r="D102" i="12" s="1"/>
  <c r="I101" i="12"/>
  <c r="E101" i="12"/>
  <c r="M101" i="12"/>
  <c r="C101" i="12"/>
  <c r="D101" i="12" s="1"/>
  <c r="B101" i="12"/>
  <c r="I100" i="12"/>
  <c r="M100" i="12" s="1"/>
  <c r="E100" i="12"/>
  <c r="C100" i="12"/>
  <c r="B100" i="12"/>
  <c r="D100" i="12" s="1"/>
  <c r="I98" i="12"/>
  <c r="E98" i="12"/>
  <c r="M98" i="12"/>
  <c r="C98" i="12"/>
  <c r="D98" i="12" s="1"/>
  <c r="B98" i="12"/>
  <c r="I97" i="12"/>
  <c r="M97" i="12" s="1"/>
  <c r="E97" i="12"/>
  <c r="C97" i="12"/>
  <c r="B97" i="12"/>
  <c r="D97" i="12" s="1"/>
  <c r="I96" i="12"/>
  <c r="E96" i="12"/>
  <c r="M96" i="12"/>
  <c r="C96" i="12"/>
  <c r="D96" i="12" s="1"/>
  <c r="B96" i="12"/>
  <c r="E106" i="11"/>
  <c r="C106" i="11"/>
  <c r="B106" i="11"/>
  <c r="D106" i="11" s="1"/>
  <c r="I105" i="11"/>
  <c r="E105" i="11"/>
  <c r="M105" i="11"/>
  <c r="C105" i="11"/>
  <c r="D105" i="11" s="1"/>
  <c r="B105" i="11"/>
  <c r="I104" i="11"/>
  <c r="M104" i="11" s="1"/>
  <c r="E104" i="11"/>
  <c r="C104" i="11"/>
  <c r="B104" i="11"/>
  <c r="D104" i="11" s="1"/>
  <c r="I102" i="11"/>
  <c r="E102" i="11"/>
  <c r="M102" i="11"/>
  <c r="C102" i="11"/>
  <c r="D102" i="11" s="1"/>
  <c r="B102" i="11"/>
  <c r="I101" i="11"/>
  <c r="M101" i="11" s="1"/>
  <c r="E101" i="11"/>
  <c r="C101" i="11"/>
  <c r="B101" i="11"/>
  <c r="D101" i="11" s="1"/>
  <c r="I100" i="11"/>
  <c r="E100" i="11"/>
  <c r="M100" i="11"/>
  <c r="C100" i="11"/>
  <c r="D100" i="11" s="1"/>
  <c r="B100" i="11"/>
  <c r="I98" i="11"/>
  <c r="M98" i="11" s="1"/>
  <c r="E98" i="11"/>
  <c r="C98" i="11"/>
  <c r="B98" i="11"/>
  <c r="D98" i="11" s="1"/>
  <c r="I97" i="11"/>
  <c r="E97" i="11"/>
  <c r="M97" i="11"/>
  <c r="C97" i="11"/>
  <c r="D97" i="11" s="1"/>
  <c r="B97" i="11"/>
  <c r="I96" i="11"/>
  <c r="M96" i="11" s="1"/>
  <c r="E96" i="11"/>
  <c r="C96" i="11"/>
  <c r="B96" i="11"/>
  <c r="D96" i="11" s="1"/>
  <c r="C32" i="10"/>
  <c r="C51" i="10"/>
  <c r="I26" i="10"/>
  <c r="I27" i="10" s="1"/>
  <c r="H27" i="10" s="1"/>
  <c r="C26" i="10"/>
  <c r="C27" i="10"/>
  <c r="C39" i="10"/>
  <c r="C43" i="10" s="1"/>
  <c r="C47" i="10"/>
  <c r="C106" i="10"/>
  <c r="D106" i="10" s="1"/>
  <c r="B106" i="10"/>
  <c r="C105" i="10"/>
  <c r="B105" i="10"/>
  <c r="D105" i="10" s="1"/>
  <c r="I104" i="10"/>
  <c r="E104" i="10"/>
  <c r="M104" i="10"/>
  <c r="C104" i="10"/>
  <c r="D104" i="10" s="1"/>
  <c r="B104" i="10"/>
  <c r="I102" i="10"/>
  <c r="M102" i="10" s="1"/>
  <c r="E102" i="10"/>
  <c r="C102" i="10"/>
  <c r="B102" i="10"/>
  <c r="D102" i="10" s="1"/>
  <c r="I101" i="10"/>
  <c r="E101" i="10"/>
  <c r="M101" i="10"/>
  <c r="C101" i="10"/>
  <c r="D101" i="10" s="1"/>
  <c r="B101" i="10"/>
  <c r="I100" i="10"/>
  <c r="M100" i="10" s="1"/>
  <c r="E100" i="10"/>
  <c r="G100" i="10"/>
  <c r="K100" i="10" s="1"/>
  <c r="C100" i="10"/>
  <c r="B100" i="10"/>
  <c r="D100" i="10" s="1"/>
  <c r="C98" i="10"/>
  <c r="B98" i="10"/>
  <c r="D98" i="10"/>
  <c r="C97" i="10"/>
  <c r="D97" i="10" s="1"/>
  <c r="B97" i="10"/>
  <c r="I96" i="10"/>
  <c r="M96" i="10" s="1"/>
  <c r="E96" i="10"/>
  <c r="C96" i="10"/>
  <c r="B96" i="10"/>
  <c r="D96" i="10" s="1"/>
  <c r="C32" i="9"/>
  <c r="C51" i="9"/>
  <c r="H27" i="9"/>
  <c r="C26" i="9"/>
  <c r="C27" i="9" s="1"/>
  <c r="C39" i="9"/>
  <c r="C43" i="9"/>
  <c r="C47" i="9"/>
  <c r="E106" i="9"/>
  <c r="C106" i="9"/>
  <c r="B106" i="9"/>
  <c r="D106" i="9" s="1"/>
  <c r="E105" i="9"/>
  <c r="C105" i="9"/>
  <c r="B105" i="9"/>
  <c r="D105" i="9" s="1"/>
  <c r="I104" i="9"/>
  <c r="E104" i="9"/>
  <c r="M104" i="9"/>
  <c r="C104" i="9"/>
  <c r="D104" i="9" s="1"/>
  <c r="B104" i="9"/>
  <c r="E102" i="9"/>
  <c r="C102" i="9"/>
  <c r="D102" i="9" s="1"/>
  <c r="B102" i="9"/>
  <c r="E101" i="9"/>
  <c r="C101" i="9"/>
  <c r="D101" i="9" s="1"/>
  <c r="B101" i="9"/>
  <c r="I100" i="9"/>
  <c r="M100" i="9" s="1"/>
  <c r="E100" i="9"/>
  <c r="C100" i="9"/>
  <c r="B100" i="9"/>
  <c r="D100" i="9" s="1"/>
  <c r="I98" i="9"/>
  <c r="E98" i="9"/>
  <c r="M98" i="9"/>
  <c r="C98" i="9"/>
  <c r="D98" i="9" s="1"/>
  <c r="B98" i="9"/>
  <c r="I97" i="9"/>
  <c r="M97" i="9" s="1"/>
  <c r="E97" i="9"/>
  <c r="C97" i="9"/>
  <c r="B97" i="9"/>
  <c r="D97" i="9" s="1"/>
  <c r="I96" i="9"/>
  <c r="E96" i="9"/>
  <c r="M96" i="9"/>
  <c r="C96" i="9"/>
  <c r="D96" i="9" s="1"/>
  <c r="B96" i="9"/>
  <c r="I106" i="8"/>
  <c r="C32" i="8"/>
  <c r="C51" i="8"/>
  <c r="C27" i="8"/>
  <c r="C39" i="8"/>
  <c r="C43" i="8" s="1"/>
  <c r="C47" i="8"/>
  <c r="C106" i="8"/>
  <c r="B106" i="8"/>
  <c r="D106" i="8" s="1"/>
  <c r="I105" i="8"/>
  <c r="C105" i="8"/>
  <c r="B105" i="8"/>
  <c r="D105" i="8" s="1"/>
  <c r="I104" i="8"/>
  <c r="C104" i="8"/>
  <c r="B104" i="8"/>
  <c r="D104" i="8" s="1"/>
  <c r="I102" i="8"/>
  <c r="E102" i="8"/>
  <c r="M102" i="8"/>
  <c r="C102" i="8"/>
  <c r="D102" i="8" s="1"/>
  <c r="B102" i="8"/>
  <c r="I101" i="8"/>
  <c r="M101" i="8" s="1"/>
  <c r="E101" i="8"/>
  <c r="C101" i="8"/>
  <c r="B101" i="8"/>
  <c r="D101" i="8" s="1"/>
  <c r="I100" i="8"/>
  <c r="E100" i="8"/>
  <c r="M100" i="8"/>
  <c r="C100" i="8"/>
  <c r="D100" i="8" s="1"/>
  <c r="B100" i="8"/>
  <c r="I98" i="8"/>
  <c r="B98" i="8"/>
  <c r="I97" i="8"/>
  <c r="C97" i="8"/>
  <c r="D97" i="8" s="1"/>
  <c r="B97" i="8"/>
  <c r="I96" i="8"/>
  <c r="C96" i="8"/>
  <c r="D96" i="8" s="1"/>
  <c r="B96" i="8"/>
  <c r="I106" i="7"/>
  <c r="M106" i="7" s="1"/>
  <c r="C32" i="7"/>
  <c r="C51" i="7"/>
  <c r="I26" i="7"/>
  <c r="I27" i="7"/>
  <c r="H27" i="7" s="1"/>
  <c r="C24" i="7"/>
  <c r="C26" i="7"/>
  <c r="C27" i="7"/>
  <c r="C36" i="7"/>
  <c r="C39" i="7" s="1"/>
  <c r="C43" i="7" s="1"/>
  <c r="C47" i="7"/>
  <c r="E106" i="7"/>
  <c r="C106" i="7"/>
  <c r="B106" i="7"/>
  <c r="D106" i="7" s="1"/>
  <c r="I105" i="7"/>
  <c r="E105" i="7"/>
  <c r="M105" i="7"/>
  <c r="C105" i="7"/>
  <c r="D105" i="7" s="1"/>
  <c r="B105" i="7"/>
  <c r="I104" i="7"/>
  <c r="M104" i="7" s="1"/>
  <c r="E104" i="7"/>
  <c r="C104" i="7"/>
  <c r="B104" i="7"/>
  <c r="D104" i="7" s="1"/>
  <c r="I102" i="7"/>
  <c r="E102" i="7"/>
  <c r="M102" i="7"/>
  <c r="C102" i="7"/>
  <c r="D102" i="7" s="1"/>
  <c r="B102" i="7"/>
  <c r="I101" i="7"/>
  <c r="M101" i="7" s="1"/>
  <c r="E101" i="7"/>
  <c r="C101" i="7"/>
  <c r="B101" i="7"/>
  <c r="D101" i="7" s="1"/>
  <c r="I100" i="7"/>
  <c r="E100" i="7"/>
  <c r="M100" i="7"/>
  <c r="C100" i="7"/>
  <c r="D100" i="7" s="1"/>
  <c r="B100" i="7"/>
  <c r="I98" i="7"/>
  <c r="M98" i="7" s="1"/>
  <c r="E98" i="7"/>
  <c r="C98" i="7"/>
  <c r="B98" i="7"/>
  <c r="D98" i="7" s="1"/>
  <c r="I97" i="7"/>
  <c r="E97" i="7"/>
  <c r="M97" i="7"/>
  <c r="C97" i="7"/>
  <c r="D97" i="7" s="1"/>
  <c r="B97" i="7"/>
  <c r="I96" i="7"/>
  <c r="M96" i="7" s="1"/>
  <c r="E96" i="7"/>
  <c r="C96" i="7"/>
  <c r="B96" i="7"/>
  <c r="D96" i="7" s="1"/>
  <c r="I106" i="6"/>
  <c r="E106" i="6"/>
  <c r="M106" i="6"/>
  <c r="C106" i="6"/>
  <c r="D106" i="6" s="1"/>
  <c r="B106" i="6"/>
  <c r="I105" i="6"/>
  <c r="M105" i="6" s="1"/>
  <c r="E105" i="6"/>
  <c r="C105" i="6"/>
  <c r="B105" i="6"/>
  <c r="D105" i="6" s="1"/>
  <c r="I104" i="6"/>
  <c r="E104" i="6"/>
  <c r="M104" i="6"/>
  <c r="C104" i="6"/>
  <c r="D104" i="6" s="1"/>
  <c r="B104" i="6"/>
  <c r="I102" i="6"/>
  <c r="M102" i="6" s="1"/>
  <c r="E102" i="6"/>
  <c r="C102" i="6"/>
  <c r="B102" i="6"/>
  <c r="D102" i="6" s="1"/>
  <c r="I101" i="6"/>
  <c r="E101" i="6"/>
  <c r="M101" i="6"/>
  <c r="C101" i="6"/>
  <c r="D101" i="6" s="1"/>
  <c r="B101" i="6"/>
  <c r="I100" i="6"/>
  <c r="M100" i="6" s="1"/>
  <c r="E100" i="6"/>
  <c r="H100" i="6"/>
  <c r="L100" i="6"/>
  <c r="G100" i="6"/>
  <c r="K100" i="6" s="1"/>
  <c r="C100" i="6"/>
  <c r="B100" i="6"/>
  <c r="D100" i="6" s="1"/>
  <c r="I98" i="6"/>
  <c r="E98" i="6"/>
  <c r="M98" i="6"/>
  <c r="C98" i="6"/>
  <c r="D98" i="6" s="1"/>
  <c r="B98" i="6"/>
  <c r="I97" i="6"/>
  <c r="M97" i="6" s="1"/>
  <c r="E97" i="6"/>
  <c r="C97" i="6"/>
  <c r="B97" i="6"/>
  <c r="D97" i="6" s="1"/>
  <c r="I96" i="6"/>
  <c r="E96" i="6"/>
  <c r="M96" i="6"/>
  <c r="C96" i="6"/>
  <c r="D96" i="6" s="1"/>
  <c r="B96" i="6"/>
  <c r="I106" i="5"/>
  <c r="C51" i="5"/>
  <c r="H27" i="5"/>
  <c r="C26" i="5"/>
  <c r="H43" i="5"/>
  <c r="G43" i="5"/>
  <c r="C39" i="5"/>
  <c r="I105" i="5"/>
  <c r="I104" i="5"/>
  <c r="I102" i="5"/>
  <c r="H102" i="5"/>
  <c r="G102" i="5"/>
  <c r="I101" i="5"/>
  <c r="H101" i="5"/>
  <c r="G101" i="5"/>
  <c r="I100" i="5"/>
  <c r="H100" i="5"/>
  <c r="G100" i="5"/>
  <c r="I98" i="5"/>
  <c r="I97" i="5"/>
  <c r="I96" i="5"/>
  <c r="C106" i="5"/>
  <c r="D106" i="5" s="1"/>
  <c r="B106" i="5"/>
  <c r="C105" i="5"/>
  <c r="D105" i="5" s="1"/>
  <c r="B105" i="5"/>
  <c r="C104" i="5"/>
  <c r="B104" i="5"/>
  <c r="D104" i="5" s="1"/>
  <c r="C102" i="5"/>
  <c r="B102" i="5"/>
  <c r="D102" i="5"/>
  <c r="C101" i="5"/>
  <c r="D101" i="5" s="1"/>
  <c r="B101" i="5"/>
  <c r="B100" i="5"/>
  <c r="C98" i="5"/>
  <c r="B98" i="5"/>
  <c r="D98" i="5" s="1"/>
  <c r="C97" i="5"/>
  <c r="B97" i="5"/>
  <c r="D97" i="5"/>
  <c r="B96" i="5"/>
  <c r="I24" i="4"/>
  <c r="I26" i="4" s="1"/>
  <c r="I27" i="4" s="1"/>
  <c r="I25" i="4"/>
  <c r="H25" i="5"/>
  <c r="I26" i="6"/>
  <c r="I27" i="6" s="1"/>
  <c r="H27" i="6" s="1"/>
  <c r="H25" i="6"/>
  <c r="H25" i="7"/>
  <c r="H25" i="9"/>
  <c r="H25" i="10"/>
  <c r="I26" i="11"/>
  <c r="I27" i="11" s="1"/>
  <c r="H27" i="11" s="1"/>
  <c r="H25" i="11"/>
  <c r="H25" i="12"/>
  <c r="H25" i="13"/>
  <c r="H25" i="14"/>
  <c r="G25" i="5"/>
  <c r="G25" i="4" s="1"/>
  <c r="E25" i="4"/>
  <c r="I39" i="6"/>
  <c r="I39" i="4"/>
  <c r="E38" i="4"/>
  <c r="C38" i="4"/>
  <c r="C147" i="13"/>
  <c r="E147" i="13" s="1"/>
  <c r="I119" i="13"/>
  <c r="C147" i="5"/>
  <c r="E147" i="5" s="1"/>
  <c r="I119" i="7"/>
  <c r="C147" i="8"/>
  <c r="C147" i="9"/>
  <c r="E147" i="9" s="1"/>
  <c r="C147" i="10"/>
  <c r="E147" i="10" s="1"/>
  <c r="C147" i="12"/>
  <c r="C147" i="14"/>
  <c r="E147" i="14" s="1"/>
  <c r="I119" i="14"/>
  <c r="C147" i="6"/>
  <c r="C147" i="11"/>
  <c r="E147" i="11" s="1"/>
  <c r="I119" i="11"/>
  <c r="C156" i="13"/>
  <c r="E156" i="13" s="1"/>
  <c r="C156" i="5"/>
  <c r="E156" i="5" s="1"/>
  <c r="I128" i="5"/>
  <c r="I128" i="7"/>
  <c r="C156" i="8"/>
  <c r="E156" i="8" s="1"/>
  <c r="C156" i="9"/>
  <c r="E156" i="9" s="1"/>
  <c r="C156" i="10"/>
  <c r="E156" i="10" s="1"/>
  <c r="C156" i="12"/>
  <c r="E156" i="12" s="1"/>
  <c r="C156" i="14"/>
  <c r="E156" i="14" s="1"/>
  <c r="I128" i="14"/>
  <c r="C156" i="6"/>
  <c r="E156" i="6" s="1"/>
  <c r="C156" i="11"/>
  <c r="E156" i="11" s="1"/>
  <c r="C146" i="13"/>
  <c r="E146" i="13" s="1"/>
  <c r="C146" i="5"/>
  <c r="E146" i="5" s="1"/>
  <c r="I118" i="5"/>
  <c r="I118" i="7"/>
  <c r="C146" i="8"/>
  <c r="E146" i="8" s="1"/>
  <c r="I118" i="8"/>
  <c r="C146" i="9"/>
  <c r="E146" i="9" s="1"/>
  <c r="F146" i="9" s="1"/>
  <c r="C146" i="10"/>
  <c r="E146" i="10" s="1"/>
  <c r="F146" i="10" s="1"/>
  <c r="C146" i="12"/>
  <c r="E146" i="12" s="1"/>
  <c r="F146" i="12" s="1"/>
  <c r="I118" i="12"/>
  <c r="C146" i="14"/>
  <c r="C146" i="6"/>
  <c r="E146" i="6" s="1"/>
  <c r="I118" i="6"/>
  <c r="C146" i="11"/>
  <c r="C155" i="13"/>
  <c r="E155" i="13" s="1"/>
  <c r="C155" i="5"/>
  <c r="I127" i="7"/>
  <c r="C155" i="8"/>
  <c r="E155" i="8" s="1"/>
  <c r="I127" i="8"/>
  <c r="C155" i="9"/>
  <c r="E155" i="9" s="1"/>
  <c r="F155" i="9" s="1"/>
  <c r="C155" i="10"/>
  <c r="E155" i="10" s="1"/>
  <c r="F155" i="10" s="1"/>
  <c r="C155" i="12"/>
  <c r="E155" i="12" s="1"/>
  <c r="F155" i="12" s="1"/>
  <c r="I127" i="12"/>
  <c r="C155" i="14"/>
  <c r="E155" i="14" s="1"/>
  <c r="C155" i="6"/>
  <c r="E155" i="6" s="1"/>
  <c r="I127" i="6"/>
  <c r="C155" i="11"/>
  <c r="E155" i="11" s="1"/>
  <c r="C145" i="13"/>
  <c r="E145" i="13" s="1"/>
  <c r="I117" i="13"/>
  <c r="C145" i="5"/>
  <c r="I117" i="7"/>
  <c r="C145" i="8"/>
  <c r="E145" i="8" s="1"/>
  <c r="I117" i="8"/>
  <c r="C145" i="9"/>
  <c r="E145" i="9" s="1"/>
  <c r="F145" i="9" s="1"/>
  <c r="C145" i="10"/>
  <c r="E145" i="10" s="1"/>
  <c r="F145" i="10" s="1"/>
  <c r="C145" i="12"/>
  <c r="E145" i="12" s="1"/>
  <c r="F145" i="12" s="1"/>
  <c r="I117" i="12"/>
  <c r="C145" i="14"/>
  <c r="E145" i="14" s="1"/>
  <c r="I117" i="14"/>
  <c r="C145" i="6"/>
  <c r="E145" i="6" s="1"/>
  <c r="I117" i="6"/>
  <c r="C145" i="11"/>
  <c r="E145" i="11" s="1"/>
  <c r="I117" i="11"/>
  <c r="C154" i="13"/>
  <c r="E154" i="13" s="1"/>
  <c r="C154" i="5"/>
  <c r="E154" i="5" s="1"/>
  <c r="I126" i="5"/>
  <c r="I126" i="7"/>
  <c r="C154" i="8"/>
  <c r="C154" i="9"/>
  <c r="E154" i="9" s="1"/>
  <c r="F154" i="9" s="1"/>
  <c r="C154" i="10"/>
  <c r="E154" i="10" s="1"/>
  <c r="F154" i="10" s="1"/>
  <c r="C154" i="12"/>
  <c r="C154" i="14"/>
  <c r="E154" i="14" s="1"/>
  <c r="I126" i="14"/>
  <c r="C154" i="6"/>
  <c r="C154" i="11"/>
  <c r="E154" i="11" s="1"/>
  <c r="C144" i="13"/>
  <c r="C144" i="5"/>
  <c r="E144" i="5" s="1"/>
  <c r="I116" i="5"/>
  <c r="I116" i="7"/>
  <c r="C144" i="8"/>
  <c r="E144" i="8" s="1"/>
  <c r="I116" i="8"/>
  <c r="C144" i="9"/>
  <c r="E144" i="9" s="1"/>
  <c r="F144" i="9" s="1"/>
  <c r="C144" i="10"/>
  <c r="E144" i="10" s="1"/>
  <c r="F144" i="10" s="1"/>
  <c r="C144" i="12"/>
  <c r="E144" i="12" s="1"/>
  <c r="F144" i="12" s="1"/>
  <c r="I116" i="12"/>
  <c r="C144" i="14"/>
  <c r="E144" i="14" s="1"/>
  <c r="I116" i="14"/>
  <c r="C144" i="6"/>
  <c r="E144" i="6" s="1"/>
  <c r="I116" i="6"/>
  <c r="C144" i="11"/>
  <c r="E144" i="11" s="1"/>
  <c r="I116" i="11"/>
  <c r="C153" i="13"/>
  <c r="E153" i="13" s="1"/>
  <c r="C153" i="5"/>
  <c r="E153" i="5" s="1"/>
  <c r="I125" i="7"/>
  <c r="C153" i="8"/>
  <c r="E153" i="8" s="1"/>
  <c r="I125" i="8"/>
  <c r="C153" i="9"/>
  <c r="E153" i="9" s="1"/>
  <c r="F153" i="9" s="1"/>
  <c r="C153" i="10"/>
  <c r="E153" i="10" s="1"/>
  <c r="F153" i="10" s="1"/>
  <c r="C153" i="12"/>
  <c r="E153" i="12" s="1"/>
  <c r="F153" i="12" s="1"/>
  <c r="I125" i="12"/>
  <c r="C153" i="14"/>
  <c r="C153" i="6"/>
  <c r="E153" i="6" s="1"/>
  <c r="I125" i="6"/>
  <c r="C153" i="11"/>
  <c r="E153" i="11" s="1"/>
  <c r="C143" i="13"/>
  <c r="E143" i="13" s="1"/>
  <c r="I115" i="13"/>
  <c r="C143" i="5"/>
  <c r="I115" i="7"/>
  <c r="C143" i="8"/>
  <c r="E143" i="8" s="1"/>
  <c r="I115" i="8"/>
  <c r="C143" i="9"/>
  <c r="E143" i="9" s="1"/>
  <c r="F143" i="9" s="1"/>
  <c r="C143" i="10"/>
  <c r="E143" i="10" s="1"/>
  <c r="F143" i="10" s="1"/>
  <c r="C143" i="12"/>
  <c r="E143" i="12" s="1"/>
  <c r="F143" i="12" s="1"/>
  <c r="I115" i="12"/>
  <c r="C143" i="14"/>
  <c r="E143" i="14" s="1"/>
  <c r="I115" i="14"/>
  <c r="C143" i="6"/>
  <c r="E143" i="6" s="1"/>
  <c r="I115" i="6"/>
  <c r="C143" i="11"/>
  <c r="E143" i="11" s="1"/>
  <c r="I115" i="11"/>
  <c r="C152" i="13"/>
  <c r="E152" i="13" s="1"/>
  <c r="C152" i="5"/>
  <c r="E152" i="5" s="1"/>
  <c r="I124" i="5"/>
  <c r="I124" i="7"/>
  <c r="C152" i="8"/>
  <c r="C152" i="9"/>
  <c r="E152" i="9" s="1"/>
  <c r="F152" i="9" s="1"/>
  <c r="C152" i="10"/>
  <c r="E152" i="10" s="1"/>
  <c r="F152" i="10" s="1"/>
  <c r="C152" i="12"/>
  <c r="C152" i="14"/>
  <c r="E152" i="14" s="1"/>
  <c r="I124" i="14"/>
  <c r="I133" i="14" s="1"/>
  <c r="C152" i="6"/>
  <c r="C152" i="11"/>
  <c r="E152" i="11" s="1"/>
  <c r="C142" i="13"/>
  <c r="C142" i="5"/>
  <c r="E142" i="5" s="1"/>
  <c r="I114" i="5"/>
  <c r="I114" i="7"/>
  <c r="C142" i="8"/>
  <c r="E142" i="8" s="1"/>
  <c r="I114" i="8"/>
  <c r="C142" i="9"/>
  <c r="E142" i="9" s="1"/>
  <c r="F142" i="9" s="1"/>
  <c r="C142" i="10"/>
  <c r="E142" i="10" s="1"/>
  <c r="F142" i="10" s="1"/>
  <c r="C142" i="12"/>
  <c r="E142" i="12" s="1"/>
  <c r="F142" i="12" s="1"/>
  <c r="I114" i="12"/>
  <c r="C142" i="14"/>
  <c r="E142" i="14" s="1"/>
  <c r="I114" i="14"/>
  <c r="C142" i="6"/>
  <c r="E142" i="6" s="1"/>
  <c r="I114" i="6"/>
  <c r="C142" i="11"/>
  <c r="E142" i="11" s="1"/>
  <c r="I114" i="11"/>
  <c r="C151" i="13"/>
  <c r="E151" i="13" s="1"/>
  <c r="C151" i="5"/>
  <c r="E151" i="5" s="1"/>
  <c r="I123" i="5"/>
  <c r="I123" i="7"/>
  <c r="C151" i="8"/>
  <c r="E151" i="8" s="1"/>
  <c r="I123" i="8"/>
  <c r="C151" i="9"/>
  <c r="E151" i="9" s="1"/>
  <c r="F151" i="9" s="1"/>
  <c r="C151" i="10"/>
  <c r="E151" i="10" s="1"/>
  <c r="F151" i="10" s="1"/>
  <c r="C151" i="12"/>
  <c r="E151" i="12" s="1"/>
  <c r="F151" i="12" s="1"/>
  <c r="I123" i="12"/>
  <c r="C151" i="14"/>
  <c r="C151" i="6"/>
  <c r="E151" i="6" s="1"/>
  <c r="C151" i="11"/>
  <c r="E151" i="11" s="1"/>
  <c r="C141" i="13"/>
  <c r="E141" i="13" s="1"/>
  <c r="I113" i="13"/>
  <c r="C141" i="5"/>
  <c r="I113" i="7"/>
  <c r="C141" i="8"/>
  <c r="E141" i="8" s="1"/>
  <c r="I113" i="8"/>
  <c r="C141" i="9"/>
  <c r="E141" i="9" s="1"/>
  <c r="F141" i="9" s="1"/>
  <c r="C141" i="10"/>
  <c r="E141" i="10" s="1"/>
  <c r="F141" i="10" s="1"/>
  <c r="C141" i="12"/>
  <c r="E141" i="12" s="1"/>
  <c r="F141" i="12" s="1"/>
  <c r="I113" i="12"/>
  <c r="C141" i="14"/>
  <c r="E141" i="14" s="1"/>
  <c r="I113" i="14"/>
  <c r="C141" i="6"/>
  <c r="E141" i="6" s="1"/>
  <c r="I113" i="6"/>
  <c r="C141" i="11"/>
  <c r="E141" i="11" s="1"/>
  <c r="I113" i="11"/>
  <c r="C150" i="13"/>
  <c r="E150" i="13" s="1"/>
  <c r="C150" i="5"/>
  <c r="E150" i="5" s="1"/>
  <c r="I122" i="5"/>
  <c r="I122" i="7"/>
  <c r="C150" i="8"/>
  <c r="C150" i="9"/>
  <c r="E150" i="9" s="1"/>
  <c r="F150" i="9" s="1"/>
  <c r="C150" i="10"/>
  <c r="E150" i="10" s="1"/>
  <c r="F150" i="10" s="1"/>
  <c r="C150" i="12"/>
  <c r="C150" i="14"/>
  <c r="E150" i="14" s="1"/>
  <c r="I122" i="14"/>
  <c r="C150" i="6"/>
  <c r="C150" i="11"/>
  <c r="E150" i="11" s="1"/>
  <c r="B146" i="2"/>
  <c r="B145" i="2"/>
  <c r="B144" i="2"/>
  <c r="B142" i="2"/>
  <c r="B141" i="2"/>
  <c r="B140" i="2"/>
  <c r="B138" i="2"/>
  <c r="B137" i="2"/>
  <c r="B136" i="2"/>
  <c r="C15" i="14"/>
  <c r="C16" i="14"/>
  <c r="C15" i="13"/>
  <c r="C16" i="13" s="1"/>
  <c r="B133" i="2"/>
  <c r="B132" i="2"/>
  <c r="B131" i="2"/>
  <c r="B129" i="2"/>
  <c r="B128" i="2"/>
  <c r="B127" i="2"/>
  <c r="B125" i="2"/>
  <c r="B124" i="2"/>
  <c r="B123" i="2"/>
  <c r="B120" i="2"/>
  <c r="B119" i="2"/>
  <c r="B118" i="2"/>
  <c r="B116" i="2"/>
  <c r="B115" i="2"/>
  <c r="B114" i="2"/>
  <c r="B112" i="2"/>
  <c r="B111" i="2"/>
  <c r="B110" i="2"/>
  <c r="C15" i="12"/>
  <c r="C16" i="12"/>
  <c r="B107" i="2"/>
  <c r="B106" i="2"/>
  <c r="B105" i="2"/>
  <c r="B103" i="2"/>
  <c r="B102" i="2"/>
  <c r="B101" i="2"/>
  <c r="B99" i="2"/>
  <c r="B98" i="2"/>
  <c r="B97" i="2"/>
  <c r="B94" i="2"/>
  <c r="B93" i="2"/>
  <c r="B92" i="2"/>
  <c r="B90" i="2"/>
  <c r="B89" i="2"/>
  <c r="B88" i="2"/>
  <c r="B86" i="2"/>
  <c r="B85" i="2"/>
  <c r="E84" i="2"/>
  <c r="B84" i="2"/>
  <c r="C15" i="10"/>
  <c r="C16" i="10"/>
  <c r="B81" i="2"/>
  <c r="B80" i="2"/>
  <c r="B79" i="2"/>
  <c r="B77" i="2"/>
  <c r="B76" i="2"/>
  <c r="B75" i="2"/>
  <c r="B73" i="2"/>
  <c r="B72" i="2"/>
  <c r="B71" i="2"/>
  <c r="C15" i="9"/>
  <c r="C16" i="9" s="1"/>
  <c r="B68" i="2"/>
  <c r="B67" i="2"/>
  <c r="B66" i="2"/>
  <c r="B64" i="2"/>
  <c r="B63" i="2"/>
  <c r="B62" i="2"/>
  <c r="B58" i="2"/>
  <c r="C15" i="8"/>
  <c r="C16" i="8"/>
  <c r="C15" i="7"/>
  <c r="C16" i="7"/>
  <c r="B47" i="2"/>
  <c r="B46" i="2"/>
  <c r="B45" i="2"/>
  <c r="C81" i="5"/>
  <c r="C83" i="5" s="1"/>
  <c r="C82" i="5"/>
  <c r="C24" i="4"/>
  <c r="C20" i="4" s="1"/>
  <c r="B24" i="4"/>
  <c r="B20" i="4"/>
  <c r="C18" i="4"/>
  <c r="C50" i="6"/>
  <c r="C50" i="5"/>
  <c r="C50" i="4" s="1"/>
  <c r="C50" i="13"/>
  <c r="C50" i="7"/>
  <c r="C50" i="8"/>
  <c r="C50" i="9"/>
  <c r="C50" i="10"/>
  <c r="C50" i="12"/>
  <c r="C50" i="14"/>
  <c r="C50" i="11"/>
  <c r="B50" i="8"/>
  <c r="B50" i="14"/>
  <c r="B50" i="10"/>
  <c r="B50" i="9"/>
  <c r="B51" i="9"/>
  <c r="B51" i="8"/>
  <c r="B51" i="7"/>
  <c r="B50" i="7"/>
  <c r="C51" i="6"/>
  <c r="B51" i="6"/>
  <c r="B50" i="6"/>
  <c r="B51" i="5"/>
  <c r="B51" i="4" s="1"/>
  <c r="B51" i="13"/>
  <c r="B51" i="10"/>
  <c r="B51" i="12"/>
  <c r="B51" i="14"/>
  <c r="D51" i="14" s="1"/>
  <c r="B51" i="11"/>
  <c r="C51" i="11"/>
  <c r="C51" i="4" s="1"/>
  <c r="C67" i="9"/>
  <c r="F67" i="9" s="1"/>
  <c r="B67" i="9"/>
  <c r="C39" i="6"/>
  <c r="C43" i="6" s="1"/>
  <c r="B68" i="4"/>
  <c r="D68" i="4"/>
  <c r="C67" i="5"/>
  <c r="C67" i="13"/>
  <c r="F67" i="13" s="1"/>
  <c r="C67" i="7"/>
  <c r="F67" i="7" s="1"/>
  <c r="C67" i="8"/>
  <c r="F67" i="8" s="1"/>
  <c r="C67" i="10"/>
  <c r="F67" i="10" s="1"/>
  <c r="C67" i="12"/>
  <c r="F67" i="12" s="1"/>
  <c r="C67" i="14"/>
  <c r="F67" i="14" s="1"/>
  <c r="C67" i="6"/>
  <c r="F67" i="6" s="1"/>
  <c r="C67" i="11"/>
  <c r="B67" i="5"/>
  <c r="B67" i="4" s="1"/>
  <c r="B67" i="13"/>
  <c r="B67" i="7"/>
  <c r="B67" i="8"/>
  <c r="B67" i="10"/>
  <c r="B67" i="12"/>
  <c r="B67" i="14"/>
  <c r="B67" i="6"/>
  <c r="B67" i="11"/>
  <c r="B66" i="4"/>
  <c r="D66" i="4" s="1"/>
  <c r="B65" i="4"/>
  <c r="D65" i="4"/>
  <c r="B64" i="4"/>
  <c r="D64" i="4" s="1"/>
  <c r="C63" i="4"/>
  <c r="B63" i="4"/>
  <c r="D63" i="4"/>
  <c r="C62" i="4"/>
  <c r="D62" i="4" s="1"/>
  <c r="B62" i="4"/>
  <c r="D57" i="4"/>
  <c r="D56" i="4"/>
  <c r="I51" i="5"/>
  <c r="I51" i="13"/>
  <c r="I51" i="7"/>
  <c r="I51" i="8"/>
  <c r="I51" i="9"/>
  <c r="I51" i="10"/>
  <c r="I51" i="4" s="1"/>
  <c r="I51" i="12"/>
  <c r="I51" i="14"/>
  <c r="I51" i="6"/>
  <c r="I51" i="11"/>
  <c r="H38" i="5"/>
  <c r="H51" i="5"/>
  <c r="H51" i="4" s="1"/>
  <c r="H51" i="13"/>
  <c r="H51" i="7"/>
  <c r="H51" i="8"/>
  <c r="H51" i="9"/>
  <c r="H51" i="10"/>
  <c r="H51" i="12"/>
  <c r="H51" i="14"/>
  <c r="H38" i="6"/>
  <c r="H51" i="6"/>
  <c r="H51" i="11"/>
  <c r="G38" i="5"/>
  <c r="G51" i="5"/>
  <c r="G51" i="13"/>
  <c r="G51" i="7"/>
  <c r="G51" i="8"/>
  <c r="G51" i="9"/>
  <c r="G51" i="10"/>
  <c r="G51" i="12"/>
  <c r="G51" i="14"/>
  <c r="G38" i="6"/>
  <c r="G51" i="6" s="1"/>
  <c r="G51" i="11"/>
  <c r="I50" i="6"/>
  <c r="H36" i="5"/>
  <c r="H36" i="6"/>
  <c r="G36" i="5"/>
  <c r="G36" i="6"/>
  <c r="D46" i="4"/>
  <c r="D45" i="4"/>
  <c r="I38" i="4"/>
  <c r="H38" i="4"/>
  <c r="F38" i="4"/>
  <c r="B38" i="4"/>
  <c r="D38" i="4"/>
  <c r="I36" i="4"/>
  <c r="B36" i="4"/>
  <c r="B39" i="4" s="1"/>
  <c r="B43" i="4" s="1"/>
  <c r="D30" i="4"/>
  <c r="C25" i="4"/>
  <c r="F25" i="4" s="1"/>
  <c r="B25" i="4"/>
  <c r="C11" i="4"/>
  <c r="H16" i="4"/>
  <c r="B13" i="4"/>
  <c r="D13" i="4" s="1"/>
  <c r="D8" i="4"/>
  <c r="H32" i="4"/>
  <c r="H33" i="4" s="1"/>
  <c r="C81" i="4"/>
  <c r="D81" i="4" s="1"/>
  <c r="G32" i="4"/>
  <c r="G33" i="4" s="1"/>
  <c r="C82" i="4"/>
  <c r="D82" i="4" s="1"/>
  <c r="B81" i="4"/>
  <c r="B82" i="4"/>
  <c r="B83" i="4"/>
  <c r="B72" i="4" s="1"/>
  <c r="B71" i="4"/>
  <c r="C70" i="4"/>
  <c r="B70" i="4"/>
  <c r="C59" i="4"/>
  <c r="C58" i="4"/>
  <c r="B48" i="4"/>
  <c r="B47" i="4"/>
  <c r="I42" i="4"/>
  <c r="D25" i="4"/>
  <c r="B16" i="4"/>
  <c r="F15" i="4"/>
  <c r="D15" i="4"/>
  <c r="F14" i="4"/>
  <c r="D14" i="4"/>
  <c r="F13" i="4"/>
  <c r="F8" i="4"/>
  <c r="B11" i="4"/>
  <c r="I137" i="14"/>
  <c r="I135" i="14"/>
  <c r="I131" i="14"/>
  <c r="C72" i="14"/>
  <c r="B81" i="14"/>
  <c r="B83" i="14" s="1"/>
  <c r="B82" i="14"/>
  <c r="D82" i="14" s="1"/>
  <c r="C71" i="14"/>
  <c r="B71" i="14"/>
  <c r="C70" i="14"/>
  <c r="B15" i="14"/>
  <c r="D15" i="14" s="1"/>
  <c r="D81" i="14"/>
  <c r="E72" i="14"/>
  <c r="D68" i="14"/>
  <c r="D67" i="14"/>
  <c r="D66" i="14"/>
  <c r="D65" i="14"/>
  <c r="D64" i="14"/>
  <c r="D63" i="14"/>
  <c r="D62" i="14"/>
  <c r="I58" i="14"/>
  <c r="I59" i="14"/>
  <c r="E59" i="14"/>
  <c r="C59" i="14"/>
  <c r="B59" i="14"/>
  <c r="E58" i="14"/>
  <c r="C58" i="14"/>
  <c r="B58" i="14"/>
  <c r="F57" i="14"/>
  <c r="D57" i="14"/>
  <c r="F56" i="14"/>
  <c r="D56" i="14"/>
  <c r="F55" i="14"/>
  <c r="D55" i="14"/>
  <c r="I52" i="14"/>
  <c r="I53" i="14" s="1"/>
  <c r="C52" i="14"/>
  <c r="C53" i="14"/>
  <c r="B52" i="14"/>
  <c r="B53" i="14" s="1"/>
  <c r="F52" i="14"/>
  <c r="D52" i="14"/>
  <c r="F51" i="14"/>
  <c r="F50" i="14"/>
  <c r="D50" i="14"/>
  <c r="H48" i="14"/>
  <c r="G48" i="14"/>
  <c r="B47" i="14"/>
  <c r="B48" i="14"/>
  <c r="F46" i="14"/>
  <c r="D46" i="14"/>
  <c r="F45" i="14"/>
  <c r="D45" i="14"/>
  <c r="B39" i="14"/>
  <c r="B43" i="14" s="1"/>
  <c r="I42" i="14"/>
  <c r="E42" i="14"/>
  <c r="C42" i="14"/>
  <c r="B42" i="14"/>
  <c r="F41" i="14"/>
  <c r="D41" i="14"/>
  <c r="F39" i="14"/>
  <c r="D39" i="14"/>
  <c r="F38" i="14"/>
  <c r="D38" i="14"/>
  <c r="I37" i="14"/>
  <c r="E37" i="14"/>
  <c r="C37" i="14"/>
  <c r="B37" i="14"/>
  <c r="F36" i="14"/>
  <c r="D36" i="14"/>
  <c r="H33" i="14"/>
  <c r="C33" i="14"/>
  <c r="B33" i="14"/>
  <c r="B32" i="14"/>
  <c r="F31" i="14"/>
  <c r="D31" i="14"/>
  <c r="F30" i="14"/>
  <c r="D30" i="14"/>
  <c r="F29" i="14"/>
  <c r="D29" i="14"/>
  <c r="B26" i="14"/>
  <c r="B27" i="14" s="1"/>
  <c r="F25" i="14"/>
  <c r="D25" i="14"/>
  <c r="F24" i="14"/>
  <c r="D24" i="14"/>
  <c r="E20" i="14"/>
  <c r="G20" i="14" s="1"/>
  <c r="C20" i="14"/>
  <c r="B20" i="14"/>
  <c r="H16" i="14"/>
  <c r="C11" i="14"/>
  <c r="H11" i="14"/>
  <c r="F15" i="14"/>
  <c r="F14" i="14"/>
  <c r="D14" i="14"/>
  <c r="F13" i="14"/>
  <c r="D13" i="14"/>
  <c r="F8" i="14"/>
  <c r="D8" i="14"/>
  <c r="B11" i="14"/>
  <c r="C18" i="14"/>
  <c r="B18" i="14"/>
  <c r="F5" i="14"/>
  <c r="D5" i="14"/>
  <c r="D5" i="4"/>
  <c r="D6" i="14"/>
  <c r="C6" i="14"/>
  <c r="B6" i="14"/>
  <c r="F4" i="14"/>
  <c r="D4" i="14"/>
  <c r="F2" i="14"/>
  <c r="F3" i="14" s="1"/>
  <c r="F2" i="4"/>
  <c r="E3" i="14"/>
  <c r="D2" i="14"/>
  <c r="D3" i="14" s="1"/>
  <c r="D2" i="4"/>
  <c r="C3" i="14"/>
  <c r="B3" i="14"/>
  <c r="B50" i="13"/>
  <c r="D68" i="13"/>
  <c r="D67" i="13"/>
  <c r="D66" i="13"/>
  <c r="D65" i="13"/>
  <c r="D64" i="13"/>
  <c r="D63" i="13"/>
  <c r="D62" i="13"/>
  <c r="C52" i="13"/>
  <c r="B52" i="13"/>
  <c r="D52" i="13" s="1"/>
  <c r="B15" i="13"/>
  <c r="D15" i="13" s="1"/>
  <c r="B81" i="13"/>
  <c r="D81" i="13" s="1"/>
  <c r="B82" i="13"/>
  <c r="D82" i="13"/>
  <c r="C72" i="13"/>
  <c r="C71" i="13"/>
  <c r="B71" i="13"/>
  <c r="C70" i="13"/>
  <c r="I58" i="13"/>
  <c r="I59" i="13"/>
  <c r="E59" i="13"/>
  <c r="C59" i="13"/>
  <c r="B59" i="13"/>
  <c r="E58" i="13"/>
  <c r="C58" i="13"/>
  <c r="B58" i="13"/>
  <c r="F57" i="13"/>
  <c r="D57" i="13"/>
  <c r="F56" i="13"/>
  <c r="D56" i="13"/>
  <c r="F55" i="13"/>
  <c r="D55" i="13"/>
  <c r="I52" i="13"/>
  <c r="I53" i="13" s="1"/>
  <c r="C53" i="13"/>
  <c r="B53" i="13"/>
  <c r="F52" i="13"/>
  <c r="F51" i="13"/>
  <c r="D51" i="13"/>
  <c r="F50" i="13"/>
  <c r="D50" i="13"/>
  <c r="H48" i="13"/>
  <c r="G48" i="13"/>
  <c r="C48" i="13"/>
  <c r="B47" i="13"/>
  <c r="B48" i="13"/>
  <c r="F46" i="13"/>
  <c r="D46" i="13"/>
  <c r="F45" i="13"/>
  <c r="D45" i="13"/>
  <c r="B39" i="13"/>
  <c r="D39" i="13" s="1"/>
  <c r="I42" i="13"/>
  <c r="E42" i="13"/>
  <c r="C42" i="13"/>
  <c r="B42" i="13"/>
  <c r="F41" i="13"/>
  <c r="D41" i="13"/>
  <c r="F39" i="13"/>
  <c r="F38" i="13"/>
  <c r="D38" i="13"/>
  <c r="I37" i="13"/>
  <c r="E37" i="13"/>
  <c r="C37" i="13"/>
  <c r="B37" i="13"/>
  <c r="F36" i="13"/>
  <c r="D36" i="13"/>
  <c r="H33" i="13"/>
  <c r="C33" i="13"/>
  <c r="B33" i="13"/>
  <c r="B32" i="13"/>
  <c r="F31" i="13"/>
  <c r="D31" i="13"/>
  <c r="F30" i="13"/>
  <c r="D30" i="13"/>
  <c r="F29" i="13"/>
  <c r="D29" i="13"/>
  <c r="B26" i="13"/>
  <c r="D26" i="13" s="1"/>
  <c r="F26" i="13"/>
  <c r="F25" i="13"/>
  <c r="D25" i="13"/>
  <c r="F24" i="13"/>
  <c r="D24" i="13"/>
  <c r="E20" i="13"/>
  <c r="G20" i="13" s="1"/>
  <c r="C20" i="13"/>
  <c r="B20" i="13"/>
  <c r="H16" i="13"/>
  <c r="C11" i="13"/>
  <c r="H11" i="13"/>
  <c r="F15" i="13"/>
  <c r="F14" i="13"/>
  <c r="D14" i="13"/>
  <c r="F13" i="13"/>
  <c r="D13" i="13"/>
  <c r="F8" i="13"/>
  <c r="D8" i="13"/>
  <c r="B11" i="13"/>
  <c r="C18" i="13"/>
  <c r="B18" i="13"/>
  <c r="F5" i="13"/>
  <c r="D5" i="13"/>
  <c r="D6" i="13" s="1"/>
  <c r="C6" i="13"/>
  <c r="B6" i="13"/>
  <c r="F4" i="13"/>
  <c r="D4" i="13"/>
  <c r="F2" i="13"/>
  <c r="F3" i="13"/>
  <c r="E3" i="13"/>
  <c r="D2" i="13"/>
  <c r="D3" i="13"/>
  <c r="C3" i="13"/>
  <c r="B3" i="13"/>
  <c r="I136" i="12"/>
  <c r="I134" i="12"/>
  <c r="I132" i="12"/>
  <c r="C72" i="12"/>
  <c r="B81" i="12"/>
  <c r="B83" i="12" s="1"/>
  <c r="B82" i="12"/>
  <c r="C71" i="12"/>
  <c r="B71" i="12"/>
  <c r="C70" i="12"/>
  <c r="C52" i="12"/>
  <c r="F52" i="12" s="1"/>
  <c r="B50" i="12"/>
  <c r="B15" i="12"/>
  <c r="D82" i="12"/>
  <c r="E72" i="12"/>
  <c r="D68" i="12"/>
  <c r="D67" i="12"/>
  <c r="D66" i="12"/>
  <c r="D65" i="12"/>
  <c r="D64" i="12"/>
  <c r="D63" i="12"/>
  <c r="D62" i="12"/>
  <c r="I58" i="12"/>
  <c r="I59" i="12" s="1"/>
  <c r="E59" i="12"/>
  <c r="C59" i="12"/>
  <c r="B59" i="12"/>
  <c r="E58" i="12"/>
  <c r="C58" i="12"/>
  <c r="B58" i="12"/>
  <c r="F57" i="12"/>
  <c r="D57" i="12"/>
  <c r="F56" i="12"/>
  <c r="D56" i="12"/>
  <c r="F55" i="12"/>
  <c r="D55" i="12"/>
  <c r="I52" i="12"/>
  <c r="I53" i="12"/>
  <c r="C53" i="12"/>
  <c r="B52" i="12"/>
  <c r="B53" i="12" s="1"/>
  <c r="D52" i="12"/>
  <c r="F51" i="12"/>
  <c r="D51" i="12"/>
  <c r="F50" i="12"/>
  <c r="D50" i="12"/>
  <c r="H48" i="12"/>
  <c r="C48" i="12"/>
  <c r="B47" i="12"/>
  <c r="B48" i="12" s="1"/>
  <c r="F46" i="12"/>
  <c r="D46" i="12"/>
  <c r="F45" i="12"/>
  <c r="D45" i="12"/>
  <c r="B39" i="12"/>
  <c r="B43" i="12"/>
  <c r="I42" i="12"/>
  <c r="E42" i="12"/>
  <c r="C42" i="12"/>
  <c r="B42" i="12"/>
  <c r="F41" i="12"/>
  <c r="D41" i="12"/>
  <c r="F39" i="12"/>
  <c r="D39" i="12"/>
  <c r="F38" i="12"/>
  <c r="D38" i="12"/>
  <c r="I37" i="12"/>
  <c r="E37" i="12"/>
  <c r="C37" i="12"/>
  <c r="B37" i="12"/>
  <c r="F36" i="12"/>
  <c r="D36" i="12"/>
  <c r="H33" i="12"/>
  <c r="C33" i="12"/>
  <c r="B33" i="12"/>
  <c r="B32" i="12"/>
  <c r="F31" i="12"/>
  <c r="D31" i="12"/>
  <c r="F30" i="12"/>
  <c r="D30" i="12"/>
  <c r="F29" i="12"/>
  <c r="D29" i="12"/>
  <c r="B26" i="12"/>
  <c r="B27" i="12"/>
  <c r="F26" i="12"/>
  <c r="D26" i="12"/>
  <c r="F25" i="12"/>
  <c r="D25" i="12"/>
  <c r="F24" i="12"/>
  <c r="D24" i="12"/>
  <c r="E20" i="12"/>
  <c r="G20" i="12" s="1"/>
  <c r="C20" i="12"/>
  <c r="B20" i="12"/>
  <c r="H16" i="12"/>
  <c r="B16" i="12"/>
  <c r="C11" i="12"/>
  <c r="H11" i="12"/>
  <c r="F15" i="12"/>
  <c r="D15" i="12"/>
  <c r="F14" i="12"/>
  <c r="D14" i="12"/>
  <c r="F13" i="12"/>
  <c r="D13" i="12"/>
  <c r="F8" i="12"/>
  <c r="D8" i="12"/>
  <c r="B11" i="12"/>
  <c r="C18" i="12"/>
  <c r="B18" i="12"/>
  <c r="F5" i="12"/>
  <c r="D5" i="12"/>
  <c r="D6" i="12"/>
  <c r="C6" i="12"/>
  <c r="B6" i="12"/>
  <c r="F4" i="12"/>
  <c r="D4" i="12"/>
  <c r="F2" i="12"/>
  <c r="F3" i="12" s="1"/>
  <c r="E3" i="12"/>
  <c r="D2" i="12"/>
  <c r="D3" i="12" s="1"/>
  <c r="C3" i="12"/>
  <c r="B3" i="12"/>
  <c r="I58" i="11"/>
  <c r="I59" i="11" s="1"/>
  <c r="C26" i="11"/>
  <c r="C27" i="11"/>
  <c r="C39" i="11"/>
  <c r="C43" i="11" s="1"/>
  <c r="C47" i="11"/>
  <c r="C32" i="11"/>
  <c r="E59" i="11"/>
  <c r="E58" i="11"/>
  <c r="I58" i="8"/>
  <c r="I59" i="8"/>
  <c r="I58" i="7"/>
  <c r="I59" i="7" s="1"/>
  <c r="E59" i="7"/>
  <c r="E58" i="7"/>
  <c r="C32" i="6"/>
  <c r="I43" i="6"/>
  <c r="H43" i="6"/>
  <c r="G43" i="6"/>
  <c r="C47" i="6"/>
  <c r="I58" i="6"/>
  <c r="I59" i="6"/>
  <c r="I58" i="5"/>
  <c r="I59" i="5" s="1"/>
  <c r="C15" i="11"/>
  <c r="C16" i="11"/>
  <c r="B81" i="11"/>
  <c r="B83" i="11" s="1"/>
  <c r="B82" i="11"/>
  <c r="D82" i="11"/>
  <c r="I77" i="11"/>
  <c r="H77" i="11"/>
  <c r="G77" i="11"/>
  <c r="C72" i="11"/>
  <c r="C71" i="11"/>
  <c r="B71" i="11"/>
  <c r="C70" i="11"/>
  <c r="B50" i="11"/>
  <c r="B52" i="11"/>
  <c r="B15" i="11"/>
  <c r="B16" i="11" s="1"/>
  <c r="C11" i="5"/>
  <c r="C11" i="6"/>
  <c r="D68" i="11"/>
  <c r="D67" i="11"/>
  <c r="D66" i="11"/>
  <c r="D65" i="11"/>
  <c r="D64" i="11"/>
  <c r="D63" i="11"/>
  <c r="D62" i="11"/>
  <c r="C58" i="11"/>
  <c r="C59" i="11"/>
  <c r="B59" i="11"/>
  <c r="B58" i="11"/>
  <c r="D57" i="11"/>
  <c r="D56" i="11"/>
  <c r="D55" i="11"/>
  <c r="I52" i="11"/>
  <c r="I53" i="11"/>
  <c r="B53" i="11"/>
  <c r="F51" i="11"/>
  <c r="D51" i="11"/>
  <c r="H48" i="11"/>
  <c r="G48" i="11"/>
  <c r="C48" i="11"/>
  <c r="B47" i="11"/>
  <c r="B48" i="11"/>
  <c r="D46" i="11"/>
  <c r="D45" i="11"/>
  <c r="B39" i="11"/>
  <c r="B43" i="11"/>
  <c r="I42" i="11"/>
  <c r="C42" i="11"/>
  <c r="B42" i="11"/>
  <c r="D41" i="11"/>
  <c r="F38" i="11"/>
  <c r="D38" i="11"/>
  <c r="I37" i="11"/>
  <c r="B37" i="11"/>
  <c r="D36" i="11"/>
  <c r="H33" i="11"/>
  <c r="C33" i="11"/>
  <c r="B33" i="11"/>
  <c r="B32" i="11"/>
  <c r="F31" i="11"/>
  <c r="D31" i="11"/>
  <c r="F30" i="11"/>
  <c r="D30" i="11"/>
  <c r="F29" i="11"/>
  <c r="D29" i="11"/>
  <c r="B26" i="11"/>
  <c r="B27" i="11" s="1"/>
  <c r="F25" i="11"/>
  <c r="D25" i="11"/>
  <c r="B20" i="11"/>
  <c r="H16" i="11"/>
  <c r="C11" i="11"/>
  <c r="H11" i="11"/>
  <c r="F15" i="11"/>
  <c r="D15" i="11"/>
  <c r="F14" i="11"/>
  <c r="D14" i="11"/>
  <c r="F13" i="11"/>
  <c r="D13" i="11"/>
  <c r="F8" i="11"/>
  <c r="D8" i="11"/>
  <c r="B11" i="11"/>
  <c r="C18" i="11"/>
  <c r="B18" i="11"/>
  <c r="F5" i="11"/>
  <c r="D5" i="11"/>
  <c r="D6" i="11"/>
  <c r="C6" i="11"/>
  <c r="B6" i="11"/>
  <c r="F4" i="11"/>
  <c r="D4" i="11"/>
  <c r="F2" i="11"/>
  <c r="F3" i="11" s="1"/>
  <c r="E3" i="11"/>
  <c r="D2" i="11"/>
  <c r="D3" i="11" s="1"/>
  <c r="C3" i="11"/>
  <c r="B3" i="11"/>
  <c r="C71" i="10"/>
  <c r="D5" i="7"/>
  <c r="D6" i="7" s="1"/>
  <c r="D5" i="6"/>
  <c r="D6" i="6"/>
  <c r="D5" i="5"/>
  <c r="D6" i="5" s="1"/>
  <c r="D5" i="9"/>
  <c r="D6" i="9"/>
  <c r="D5" i="10"/>
  <c r="D6" i="10" s="1"/>
  <c r="C72" i="10"/>
  <c r="B81" i="10"/>
  <c r="B83" i="10" s="1"/>
  <c r="B82" i="10"/>
  <c r="B71" i="10"/>
  <c r="C70" i="10"/>
  <c r="D68" i="10"/>
  <c r="D67" i="10"/>
  <c r="D66" i="10"/>
  <c r="D65" i="10"/>
  <c r="D64" i="10"/>
  <c r="D63" i="10"/>
  <c r="D62" i="10"/>
  <c r="B15" i="10"/>
  <c r="D82" i="10"/>
  <c r="C58" i="10"/>
  <c r="C59" i="10"/>
  <c r="B59" i="10"/>
  <c r="B58" i="10"/>
  <c r="D57" i="10"/>
  <c r="D56" i="10"/>
  <c r="F55" i="10"/>
  <c r="D55" i="10"/>
  <c r="C52" i="10"/>
  <c r="C53" i="10" s="1"/>
  <c r="B52" i="10"/>
  <c r="B53" i="10"/>
  <c r="F52" i="10"/>
  <c r="F51" i="10"/>
  <c r="D51" i="10"/>
  <c r="F50" i="10"/>
  <c r="D50" i="10"/>
  <c r="H48" i="10"/>
  <c r="G48" i="10"/>
  <c r="C48" i="10"/>
  <c r="B47" i="10"/>
  <c r="B48" i="10" s="1"/>
  <c r="F46" i="10"/>
  <c r="D46" i="10"/>
  <c r="F45" i="10"/>
  <c r="D45" i="10"/>
  <c r="B39" i="10"/>
  <c r="D39" i="10" s="1"/>
  <c r="B43" i="10"/>
  <c r="I42" i="10"/>
  <c r="E42" i="10"/>
  <c r="C42" i="10"/>
  <c r="B42" i="10"/>
  <c r="F41" i="10"/>
  <c r="D41" i="10"/>
  <c r="F39" i="10"/>
  <c r="F38" i="10"/>
  <c r="D38" i="10"/>
  <c r="E37" i="10"/>
  <c r="C37" i="10"/>
  <c r="B37" i="10"/>
  <c r="F36" i="10"/>
  <c r="D36" i="10"/>
  <c r="C33" i="10"/>
  <c r="B33" i="10"/>
  <c r="B32" i="10"/>
  <c r="D31" i="10"/>
  <c r="D30" i="10"/>
  <c r="F29" i="10"/>
  <c r="D29" i="10"/>
  <c r="B26" i="10"/>
  <c r="D26" i="10" s="1"/>
  <c r="F25" i="10"/>
  <c r="D25" i="10"/>
  <c r="F24" i="10"/>
  <c r="D24" i="10"/>
  <c r="E20" i="10"/>
  <c r="G20" i="10" s="1"/>
  <c r="C20" i="10"/>
  <c r="B20" i="10"/>
  <c r="H16" i="10"/>
  <c r="B16" i="10"/>
  <c r="C11" i="10"/>
  <c r="H11" i="10"/>
  <c r="F15" i="10"/>
  <c r="D15" i="10"/>
  <c r="F14" i="10"/>
  <c r="D14" i="10"/>
  <c r="F13" i="10"/>
  <c r="D13" i="10"/>
  <c r="F8" i="10"/>
  <c r="D8" i="10"/>
  <c r="B11" i="10"/>
  <c r="C18" i="10"/>
  <c r="B18" i="10"/>
  <c r="F5" i="10"/>
  <c r="C6" i="10"/>
  <c r="B6" i="10"/>
  <c r="F4" i="10"/>
  <c r="D4" i="10"/>
  <c r="F2" i="10"/>
  <c r="F3" i="10" s="1"/>
  <c r="E3" i="10"/>
  <c r="D2" i="10"/>
  <c r="D3" i="10"/>
  <c r="C3" i="10"/>
  <c r="B3" i="10"/>
  <c r="I77" i="9"/>
  <c r="H77" i="9"/>
  <c r="G77" i="9"/>
  <c r="D68" i="9"/>
  <c r="D67" i="9"/>
  <c r="D66" i="9"/>
  <c r="D65" i="9"/>
  <c r="D64" i="9"/>
  <c r="D63" i="9"/>
  <c r="D62" i="9"/>
  <c r="B81" i="9"/>
  <c r="D81" i="9" s="1"/>
  <c r="B82" i="9"/>
  <c r="D82" i="9"/>
  <c r="C72" i="9"/>
  <c r="C71" i="9"/>
  <c r="B71" i="9"/>
  <c r="C70" i="9"/>
  <c r="B70" i="9"/>
  <c r="G39" i="6"/>
  <c r="H39" i="6"/>
  <c r="H39" i="5"/>
  <c r="G39" i="5"/>
  <c r="B15" i="9"/>
  <c r="D15" i="9" s="1"/>
  <c r="C58" i="9"/>
  <c r="C59" i="9"/>
  <c r="B59" i="9"/>
  <c r="B58" i="9"/>
  <c r="D57" i="9"/>
  <c r="D56" i="9"/>
  <c r="D55" i="9"/>
  <c r="F51" i="9"/>
  <c r="D51" i="9"/>
  <c r="D46" i="9"/>
  <c r="D45" i="9"/>
  <c r="B39" i="9"/>
  <c r="I42" i="9"/>
  <c r="D39" i="9"/>
  <c r="F38" i="9"/>
  <c r="D38" i="9"/>
  <c r="D36" i="9"/>
  <c r="H33" i="9"/>
  <c r="B33" i="9"/>
  <c r="B32" i="9"/>
  <c r="D30" i="9"/>
  <c r="F25" i="9"/>
  <c r="D25" i="9"/>
  <c r="H16" i="9"/>
  <c r="B16" i="9"/>
  <c r="C11" i="9"/>
  <c r="H11" i="9"/>
  <c r="F15" i="9"/>
  <c r="F14" i="9"/>
  <c r="D14" i="9"/>
  <c r="F13" i="9"/>
  <c r="D13" i="9"/>
  <c r="F8" i="9"/>
  <c r="D8" i="9"/>
  <c r="B11" i="9"/>
  <c r="C18" i="9"/>
  <c r="B18" i="9"/>
  <c r="F5" i="9"/>
  <c r="C6" i="9"/>
  <c r="B6" i="9"/>
  <c r="F4" i="9"/>
  <c r="D4" i="9"/>
  <c r="F2" i="9"/>
  <c r="F3" i="9" s="1"/>
  <c r="E3" i="9"/>
  <c r="D2" i="9"/>
  <c r="D3" i="9" s="1"/>
  <c r="C3" i="9"/>
  <c r="B3" i="9"/>
  <c r="C37" i="8"/>
  <c r="I136" i="8"/>
  <c r="I134" i="8"/>
  <c r="I132" i="8"/>
  <c r="I137" i="7"/>
  <c r="I136" i="7"/>
  <c r="I135" i="7"/>
  <c r="I134" i="7"/>
  <c r="I133" i="7"/>
  <c r="I132" i="7"/>
  <c r="I131" i="7"/>
  <c r="B81" i="8"/>
  <c r="D81" i="8" s="1"/>
  <c r="B82" i="8"/>
  <c r="D82" i="8"/>
  <c r="C48" i="8"/>
  <c r="B47" i="8"/>
  <c r="B48" i="8" s="1"/>
  <c r="C72" i="8"/>
  <c r="C71" i="8"/>
  <c r="B71" i="8"/>
  <c r="C70" i="8"/>
  <c r="B15" i="8"/>
  <c r="D15" i="8" s="1"/>
  <c r="D68" i="8"/>
  <c r="D67" i="8"/>
  <c r="D66" i="8"/>
  <c r="D65" i="8"/>
  <c r="D64" i="8"/>
  <c r="D63" i="8"/>
  <c r="D62" i="8"/>
  <c r="C58" i="8"/>
  <c r="C59" i="8"/>
  <c r="B59" i="8"/>
  <c r="B58" i="8"/>
  <c r="D57" i="8"/>
  <c r="D56" i="8"/>
  <c r="D55" i="8"/>
  <c r="I52" i="8"/>
  <c r="I53" i="8" s="1"/>
  <c r="C52" i="8"/>
  <c r="C53" i="8"/>
  <c r="B52" i="8"/>
  <c r="B53" i="8" s="1"/>
  <c r="E52" i="8"/>
  <c r="F52" i="8"/>
  <c r="D52" i="8"/>
  <c r="F51" i="8"/>
  <c r="D51" i="8"/>
  <c r="F50" i="8"/>
  <c r="D50" i="8"/>
  <c r="H48" i="8"/>
  <c r="G48" i="8"/>
  <c r="D46" i="8"/>
  <c r="B39" i="8"/>
  <c r="D39" i="8" s="1"/>
  <c r="I42" i="8"/>
  <c r="F38" i="8"/>
  <c r="D38" i="8"/>
  <c r="I37" i="8"/>
  <c r="B37" i="8"/>
  <c r="D36" i="8"/>
  <c r="H33" i="8"/>
  <c r="D30" i="8"/>
  <c r="B26" i="8"/>
  <c r="D26" i="8"/>
  <c r="F25" i="8"/>
  <c r="D25" i="8"/>
  <c r="D24" i="8"/>
  <c r="C20" i="8"/>
  <c r="B20" i="8"/>
  <c r="H16" i="8"/>
  <c r="C11" i="8"/>
  <c r="H11" i="8"/>
  <c r="F15" i="8"/>
  <c r="F14" i="8"/>
  <c r="D14" i="8"/>
  <c r="F13" i="8"/>
  <c r="D13" i="8"/>
  <c r="F8" i="8"/>
  <c r="D8" i="8"/>
  <c r="B11" i="8"/>
  <c r="C18" i="8"/>
  <c r="B18" i="8"/>
  <c r="F5" i="8"/>
  <c r="C6" i="8"/>
  <c r="B6" i="8"/>
  <c r="D5" i="8"/>
  <c r="F4" i="8"/>
  <c r="D4" i="8"/>
  <c r="F2" i="8"/>
  <c r="F3" i="8"/>
  <c r="E3" i="8"/>
  <c r="D2" i="8"/>
  <c r="D3" i="8" s="1"/>
  <c r="C3" i="8"/>
  <c r="B3" i="8"/>
  <c r="C81" i="6"/>
  <c r="D81" i="6" s="1"/>
  <c r="C82" i="6"/>
  <c r="C71" i="6" s="1"/>
  <c r="I77" i="6"/>
  <c r="H77" i="6"/>
  <c r="G77" i="6"/>
  <c r="D4" i="5"/>
  <c r="D4" i="6"/>
  <c r="D4" i="7"/>
  <c r="F57" i="7"/>
  <c r="F56" i="7"/>
  <c r="F55" i="7"/>
  <c r="C52" i="7"/>
  <c r="F51" i="7"/>
  <c r="F46" i="7"/>
  <c r="F45" i="7"/>
  <c r="F41" i="7"/>
  <c r="F39" i="7"/>
  <c r="F38" i="7"/>
  <c r="F36" i="7"/>
  <c r="F31" i="7"/>
  <c r="F30" i="7"/>
  <c r="F29" i="7"/>
  <c r="F26" i="7"/>
  <c r="F25" i="7"/>
  <c r="F24" i="7"/>
  <c r="F51" i="6"/>
  <c r="F38" i="6"/>
  <c r="F31" i="6"/>
  <c r="F30" i="6"/>
  <c r="F29" i="6"/>
  <c r="F25" i="6"/>
  <c r="C52" i="5"/>
  <c r="C53" i="5" s="1"/>
  <c r="F51" i="5"/>
  <c r="F38" i="5"/>
  <c r="F25" i="5"/>
  <c r="C72" i="7"/>
  <c r="C71" i="7"/>
  <c r="C70" i="7"/>
  <c r="B81" i="7"/>
  <c r="B82" i="7"/>
  <c r="D82" i="7" s="1"/>
  <c r="B70" i="7"/>
  <c r="D81" i="7"/>
  <c r="B52" i="7"/>
  <c r="D52" i="7" s="1"/>
  <c r="B15" i="7"/>
  <c r="B16" i="7" s="1"/>
  <c r="D68" i="7"/>
  <c r="D67" i="7"/>
  <c r="D66" i="7"/>
  <c r="D65" i="7"/>
  <c r="D64" i="7"/>
  <c r="D63" i="7"/>
  <c r="D62" i="7"/>
  <c r="C58" i="7"/>
  <c r="C59" i="7"/>
  <c r="B59" i="7"/>
  <c r="B58" i="7"/>
  <c r="D57" i="7"/>
  <c r="D56" i="7"/>
  <c r="D55" i="7"/>
  <c r="C53" i="7"/>
  <c r="B53" i="7"/>
  <c r="D51" i="7"/>
  <c r="D50" i="7"/>
  <c r="H48" i="7"/>
  <c r="G48" i="7"/>
  <c r="D46" i="7"/>
  <c r="D45" i="7"/>
  <c r="B39" i="7"/>
  <c r="D39" i="7" s="1"/>
  <c r="I42" i="7"/>
  <c r="D38" i="7"/>
  <c r="C37" i="7"/>
  <c r="B37" i="7"/>
  <c r="D36" i="7"/>
  <c r="H33" i="7"/>
  <c r="D31" i="7"/>
  <c r="D30" i="7"/>
  <c r="B26" i="7"/>
  <c r="D26" i="7"/>
  <c r="D25" i="7"/>
  <c r="D24" i="7"/>
  <c r="C20" i="7"/>
  <c r="B20" i="7"/>
  <c r="H16" i="7"/>
  <c r="C11" i="7"/>
  <c r="F15" i="7"/>
  <c r="F14" i="7"/>
  <c r="D14" i="7"/>
  <c r="F13" i="7"/>
  <c r="D13" i="7"/>
  <c r="F8" i="7"/>
  <c r="D8" i="7"/>
  <c r="B11" i="7"/>
  <c r="C18" i="7"/>
  <c r="B18" i="7"/>
  <c r="F5" i="7"/>
  <c r="C6" i="7"/>
  <c r="B6" i="7"/>
  <c r="F4" i="7"/>
  <c r="F2" i="7"/>
  <c r="F3" i="7"/>
  <c r="E3" i="7"/>
  <c r="D2" i="7"/>
  <c r="D3" i="7"/>
  <c r="C3" i="7"/>
  <c r="B3" i="7"/>
  <c r="I136" i="6"/>
  <c r="I134" i="6"/>
  <c r="H11" i="6"/>
  <c r="B20" i="6"/>
  <c r="C20" i="5"/>
  <c r="B20" i="5"/>
  <c r="B39" i="6"/>
  <c r="B43" i="6"/>
  <c r="C70" i="6"/>
  <c r="D68" i="6"/>
  <c r="D67" i="6"/>
  <c r="D66" i="6"/>
  <c r="D65" i="6"/>
  <c r="D64" i="6"/>
  <c r="D63" i="6"/>
  <c r="D62" i="6"/>
  <c r="C58" i="6"/>
  <c r="C59" i="6"/>
  <c r="I52" i="6"/>
  <c r="I53" i="6"/>
  <c r="B52" i="6"/>
  <c r="D51" i="6"/>
  <c r="H48" i="6"/>
  <c r="D46" i="6"/>
  <c r="D45" i="6"/>
  <c r="I42" i="6"/>
  <c r="D39" i="6"/>
  <c r="D38" i="6"/>
  <c r="I37" i="6"/>
  <c r="B37" i="6"/>
  <c r="D36" i="6"/>
  <c r="H33" i="6"/>
  <c r="B26" i="6"/>
  <c r="D25" i="6"/>
  <c r="H16" i="6"/>
  <c r="B15" i="6"/>
  <c r="B16" i="6" s="1"/>
  <c r="F15" i="6"/>
  <c r="F14" i="6"/>
  <c r="D14" i="6"/>
  <c r="F13" i="6"/>
  <c r="D13" i="6"/>
  <c r="F8" i="6"/>
  <c r="D8" i="6"/>
  <c r="B11" i="6"/>
  <c r="C18" i="6"/>
  <c r="F5" i="6"/>
  <c r="C6" i="6"/>
  <c r="B6" i="6"/>
  <c r="F4" i="6"/>
  <c r="F2" i="6"/>
  <c r="F3" i="6" s="1"/>
  <c r="E3" i="6"/>
  <c r="D2" i="6"/>
  <c r="D3" i="6" s="1"/>
  <c r="C3" i="6"/>
  <c r="B3" i="6"/>
  <c r="H11" i="5"/>
  <c r="B11" i="5"/>
  <c r="D2" i="5"/>
  <c r="D3" i="5"/>
  <c r="F2" i="5"/>
  <c r="F3" i="5" s="1"/>
  <c r="B81" i="5"/>
  <c r="B82" i="5"/>
  <c r="D82" i="5" s="1"/>
  <c r="B83" i="5"/>
  <c r="B72" i="5" s="1"/>
  <c r="D81" i="5"/>
  <c r="D57" i="5"/>
  <c r="D56" i="5"/>
  <c r="D55" i="5"/>
  <c r="B50" i="5"/>
  <c r="B52" i="5"/>
  <c r="D51" i="5"/>
  <c r="D50" i="5"/>
  <c r="C58" i="5"/>
  <c r="F13" i="5"/>
  <c r="D4" i="4"/>
  <c r="B6" i="5"/>
  <c r="I52" i="5"/>
  <c r="I53" i="5" s="1"/>
  <c r="F8" i="5"/>
  <c r="F5" i="5"/>
  <c r="F4" i="5"/>
  <c r="E3" i="5"/>
  <c r="C6" i="5"/>
  <c r="I26" i="5"/>
  <c r="H48" i="5"/>
  <c r="G48" i="5"/>
  <c r="I42" i="5"/>
  <c r="I37" i="5"/>
  <c r="C37" i="5"/>
  <c r="B37" i="5"/>
  <c r="B53" i="5"/>
  <c r="H33" i="5"/>
  <c r="G33" i="5"/>
  <c r="B39" i="5"/>
  <c r="D39" i="5"/>
  <c r="D38" i="5"/>
  <c r="D8" i="5"/>
  <c r="B26" i="5"/>
  <c r="B27" i="5"/>
  <c r="B43" i="5"/>
  <c r="I132" i="5"/>
  <c r="C137" i="5"/>
  <c r="C165" i="5" s="1"/>
  <c r="E165" i="5" s="1"/>
  <c r="C136" i="5"/>
  <c r="C164" i="5"/>
  <c r="E164" i="5" s="1"/>
  <c r="C135" i="5"/>
  <c r="C163" i="5" s="1"/>
  <c r="E163" i="5" s="1"/>
  <c r="C134" i="5"/>
  <c r="C162" i="5"/>
  <c r="E162" i="5" s="1"/>
  <c r="C133" i="5"/>
  <c r="C161" i="5" s="1"/>
  <c r="E161" i="5" s="1"/>
  <c r="C132" i="5"/>
  <c r="C160" i="5"/>
  <c r="E160" i="5" s="1"/>
  <c r="C131" i="5"/>
  <c r="C159" i="5" s="1"/>
  <c r="E159" i="5" s="1"/>
  <c r="C59" i="5"/>
  <c r="C18" i="5"/>
  <c r="B18" i="5"/>
  <c r="D14" i="5"/>
  <c r="D26" i="5"/>
  <c r="D25" i="5"/>
  <c r="C71" i="5"/>
  <c r="B71" i="5"/>
  <c r="C70" i="5"/>
  <c r="B70" i="5"/>
  <c r="D68" i="5"/>
  <c r="D67" i="5"/>
  <c r="D66" i="5"/>
  <c r="D65" i="5"/>
  <c r="D64" i="5"/>
  <c r="D63" i="5"/>
  <c r="D62" i="5"/>
  <c r="B33" i="5"/>
  <c r="B32" i="5"/>
  <c r="D31" i="5"/>
  <c r="D30" i="5"/>
  <c r="B48" i="5"/>
  <c r="B47" i="5"/>
  <c r="D46" i="5"/>
  <c r="D45" i="5"/>
  <c r="B42" i="5"/>
  <c r="D36" i="5"/>
  <c r="B59" i="5"/>
  <c r="B58" i="5"/>
  <c r="D24" i="5"/>
  <c r="B15" i="5"/>
  <c r="B16" i="5" s="1"/>
  <c r="D13" i="5"/>
  <c r="B3" i="5"/>
  <c r="C3" i="5"/>
  <c r="C137" i="6"/>
  <c r="C165" i="6"/>
  <c r="E165" i="6" s="1"/>
  <c r="C136" i="6"/>
  <c r="C164" i="6" s="1"/>
  <c r="E164" i="6" s="1"/>
  <c r="C135" i="6"/>
  <c r="C163" i="6"/>
  <c r="E163" i="6" s="1"/>
  <c r="C134" i="6"/>
  <c r="C162" i="6" s="1"/>
  <c r="E162" i="6" s="1"/>
  <c r="C133" i="6"/>
  <c r="C161" i="6"/>
  <c r="E161" i="6" s="1"/>
  <c r="C132" i="6"/>
  <c r="C160" i="6" s="1"/>
  <c r="E160" i="6" s="1"/>
  <c r="C131" i="6"/>
  <c r="C159" i="6"/>
  <c r="E159" i="6" s="1"/>
  <c r="C137" i="8"/>
  <c r="C164" i="8" s="1"/>
  <c r="E164" i="8" s="1"/>
  <c r="C136" i="8"/>
  <c r="C135" i="8"/>
  <c r="C163" i="8" s="1"/>
  <c r="E163" i="8" s="1"/>
  <c r="C134" i="8"/>
  <c r="C133" i="8"/>
  <c r="C161" i="8" s="1"/>
  <c r="E161" i="8" s="1"/>
  <c r="C132" i="8"/>
  <c r="C131" i="8"/>
  <c r="C159" i="8" s="1"/>
  <c r="E159" i="8" s="1"/>
  <c r="A14" i="19"/>
  <c r="A15" i="19"/>
  <c r="A16" i="19"/>
  <c r="A17" i="19" s="1"/>
  <c r="A18" i="19" s="1"/>
  <c r="A63" i="19"/>
  <c r="A64" i="19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  <c r="A80" i="19" s="1"/>
  <c r="A81" i="19" s="1"/>
  <c r="A82" i="19" s="1"/>
  <c r="A83" i="19" s="1"/>
  <c r="A84" i="19" s="1"/>
  <c r="A85" i="19" s="1"/>
  <c r="C137" i="9"/>
  <c r="C136" i="9"/>
  <c r="C164" i="9" s="1"/>
  <c r="E164" i="9" s="1"/>
  <c r="F164" i="9" s="1"/>
  <c r="C135" i="9"/>
  <c r="C163" i="9" s="1"/>
  <c r="E163" i="9" s="1"/>
  <c r="F163" i="9" s="1"/>
  <c r="C134" i="9"/>
  <c r="C133" i="9"/>
  <c r="C132" i="9"/>
  <c r="C160" i="9" s="1"/>
  <c r="E160" i="9" s="1"/>
  <c r="F160" i="9" s="1"/>
  <c r="C131" i="9"/>
  <c r="C159" i="9" s="1"/>
  <c r="E159" i="9" s="1"/>
  <c r="F159" i="9" s="1"/>
  <c r="C165" i="9"/>
  <c r="E165" i="9" s="1"/>
  <c r="C162" i="9"/>
  <c r="E162" i="9" s="1"/>
  <c r="F162" i="9" s="1"/>
  <c r="C161" i="9"/>
  <c r="E161" i="9" s="1"/>
  <c r="F161" i="9" s="1"/>
  <c r="C137" i="10"/>
  <c r="C164" i="10" s="1"/>
  <c r="E164" i="10" s="1"/>
  <c r="F164" i="10" s="1"/>
  <c r="C136" i="10"/>
  <c r="C135" i="10"/>
  <c r="C163" i="10" s="1"/>
  <c r="E163" i="10" s="1"/>
  <c r="F163" i="10" s="1"/>
  <c r="C134" i="10"/>
  <c r="C133" i="10"/>
  <c r="C161" i="10" s="1"/>
  <c r="E161" i="10" s="1"/>
  <c r="F161" i="10" s="1"/>
  <c r="C132" i="10"/>
  <c r="C131" i="10"/>
  <c r="C159" i="10" s="1"/>
  <c r="E159" i="10" s="1"/>
  <c r="F159" i="10" s="1"/>
  <c r="C137" i="11"/>
  <c r="C165" i="11"/>
  <c r="E165" i="11" s="1"/>
  <c r="C136" i="11"/>
  <c r="C164" i="11" s="1"/>
  <c r="E164" i="11" s="1"/>
  <c r="C135" i="11"/>
  <c r="C163" i="11"/>
  <c r="E163" i="11" s="1"/>
  <c r="C134" i="11"/>
  <c r="C162" i="11" s="1"/>
  <c r="E162" i="11" s="1"/>
  <c r="C133" i="11"/>
  <c r="C161" i="11"/>
  <c r="E161" i="11" s="1"/>
  <c r="C132" i="11"/>
  <c r="C160" i="11" s="1"/>
  <c r="E160" i="11" s="1"/>
  <c r="C131" i="11"/>
  <c r="C159" i="11"/>
  <c r="E159" i="11" s="1"/>
  <c r="B55" i="2"/>
  <c r="B59" i="2"/>
  <c r="B60" i="2"/>
  <c r="B49" i="2"/>
  <c r="B50" i="2"/>
  <c r="B51" i="2"/>
  <c r="B53" i="2"/>
  <c r="B54" i="2"/>
  <c r="B32" i="2"/>
  <c r="B33" i="2"/>
  <c r="B34" i="2"/>
  <c r="B36" i="2"/>
  <c r="B37" i="2"/>
  <c r="B38" i="2"/>
  <c r="B40" i="2"/>
  <c r="B41" i="2"/>
  <c r="B42" i="2"/>
  <c r="B19" i="2"/>
  <c r="B20" i="2"/>
  <c r="E20" i="2"/>
  <c r="B21" i="2"/>
  <c r="B23" i="2"/>
  <c r="B24" i="2"/>
  <c r="B25" i="2"/>
  <c r="B27" i="2"/>
  <c r="B28" i="2"/>
  <c r="B29" i="2"/>
  <c r="B6" i="2"/>
  <c r="B7" i="2"/>
  <c r="B8" i="2"/>
  <c r="B10" i="2"/>
  <c r="B11" i="2"/>
  <c r="B12" i="2"/>
  <c r="B14" i="2"/>
  <c r="B15" i="2"/>
  <c r="B16" i="2"/>
  <c r="C131" i="12"/>
  <c r="C137" i="12"/>
  <c r="C136" i="12"/>
  <c r="C135" i="12"/>
  <c r="C163" i="12" s="1"/>
  <c r="E163" i="12" s="1"/>
  <c r="F163" i="12" s="1"/>
  <c r="C134" i="12"/>
  <c r="C133" i="12"/>
  <c r="C161" i="12" s="1"/>
  <c r="E161" i="12" s="1"/>
  <c r="F161" i="12" s="1"/>
  <c r="C132" i="12"/>
  <c r="C159" i="12"/>
  <c r="E159" i="12" s="1"/>
  <c r="F159" i="12" s="1"/>
  <c r="C137" i="13"/>
  <c r="C165" i="13" s="1"/>
  <c r="E165" i="13" s="1"/>
  <c r="C136" i="13"/>
  <c r="C164" i="13"/>
  <c r="E164" i="13" s="1"/>
  <c r="C135" i="13"/>
  <c r="C163" i="13" s="1"/>
  <c r="E163" i="13" s="1"/>
  <c r="C134" i="13"/>
  <c r="C162" i="13"/>
  <c r="E162" i="13" s="1"/>
  <c r="C133" i="13"/>
  <c r="C161" i="13" s="1"/>
  <c r="E161" i="13" s="1"/>
  <c r="C132" i="13"/>
  <c r="C160" i="13"/>
  <c r="E160" i="13" s="1"/>
  <c r="C131" i="13"/>
  <c r="C159" i="13" s="1"/>
  <c r="E159" i="13" s="1"/>
  <c r="C137" i="14"/>
  <c r="C165" i="14"/>
  <c r="E165" i="14" s="1"/>
  <c r="C136" i="14"/>
  <c r="C164" i="14" s="1"/>
  <c r="E164" i="14" s="1"/>
  <c r="C135" i="14"/>
  <c r="C163" i="14"/>
  <c r="E163" i="14" s="1"/>
  <c r="C134" i="14"/>
  <c r="C162" i="14" s="1"/>
  <c r="E162" i="14" s="1"/>
  <c r="C133" i="14"/>
  <c r="C161" i="14"/>
  <c r="E161" i="14" s="1"/>
  <c r="C132" i="14"/>
  <c r="C160" i="14" s="1"/>
  <c r="E160" i="14" s="1"/>
  <c r="C131" i="14"/>
  <c r="C159" i="14"/>
  <c r="E159" i="14" s="1"/>
  <c r="B48" i="6"/>
  <c r="B47" i="6"/>
  <c r="C48" i="6"/>
  <c r="C42" i="6"/>
  <c r="D41" i="6"/>
  <c r="C33" i="6"/>
  <c r="D55" i="6"/>
  <c r="B53" i="6"/>
  <c r="B18" i="6"/>
  <c r="B42" i="6"/>
  <c r="B27" i="6"/>
  <c r="D29" i="6"/>
  <c r="B81" i="6"/>
  <c r="B70" i="6" s="1"/>
  <c r="B58" i="6"/>
  <c r="D56" i="6"/>
  <c r="D30" i="6"/>
  <c r="B32" i="6"/>
  <c r="B82" i="6"/>
  <c r="B59" i="6"/>
  <c r="D57" i="6"/>
  <c r="D31" i="6"/>
  <c r="B33" i="6"/>
  <c r="C33" i="7"/>
  <c r="B33" i="7"/>
  <c r="B32" i="7"/>
  <c r="D29" i="7"/>
  <c r="B27" i="7"/>
  <c r="E20" i="7"/>
  <c r="G20" i="7" s="1"/>
  <c r="C48" i="7"/>
  <c r="B48" i="7"/>
  <c r="B47" i="7"/>
  <c r="E42" i="7"/>
  <c r="C42" i="7"/>
  <c r="B42" i="7"/>
  <c r="D41" i="7"/>
  <c r="D45" i="8"/>
  <c r="B33" i="8"/>
  <c r="B32" i="8"/>
  <c r="B27" i="8"/>
  <c r="B43" i="8"/>
  <c r="B42" i="8"/>
  <c r="F39" i="8"/>
  <c r="F36" i="8"/>
  <c r="F24" i="8"/>
  <c r="E20" i="8"/>
  <c r="G20" i="8" s="1"/>
  <c r="D29" i="8"/>
  <c r="F46" i="8"/>
  <c r="F45" i="8"/>
  <c r="C42" i="8"/>
  <c r="F41" i="8"/>
  <c r="D41" i="8"/>
  <c r="C48" i="9"/>
  <c r="B47" i="9"/>
  <c r="B48" i="9"/>
  <c r="C42" i="9"/>
  <c r="B43" i="9"/>
  <c r="B42" i="9"/>
  <c r="D41" i="9"/>
  <c r="C33" i="9"/>
  <c r="F31" i="9"/>
  <c r="D31" i="9"/>
  <c r="F30" i="9"/>
  <c r="F29" i="9"/>
  <c r="D29" i="9"/>
  <c r="F57" i="11"/>
  <c r="F56" i="11"/>
  <c r="F55" i="11"/>
  <c r="C52" i="11"/>
  <c r="F50" i="11"/>
  <c r="D50" i="11"/>
  <c r="F46" i="11"/>
  <c r="F45" i="11"/>
  <c r="E42" i="11"/>
  <c r="F41" i="11"/>
  <c r="F39" i="11"/>
  <c r="E37" i="11"/>
  <c r="C37" i="11"/>
  <c r="F36" i="11"/>
  <c r="F26" i="11"/>
  <c r="D26" i="11"/>
  <c r="F24" i="11"/>
  <c r="D24" i="11"/>
  <c r="E20" i="11"/>
  <c r="G20" i="11" s="1"/>
  <c r="C20" i="11"/>
  <c r="B50" i="4"/>
  <c r="B26" i="4"/>
  <c r="E59" i="9"/>
  <c r="E58" i="9"/>
  <c r="B52" i="9"/>
  <c r="B53" i="9" s="1"/>
  <c r="C52" i="9"/>
  <c r="F52" i="9"/>
  <c r="D52" i="9"/>
  <c r="F50" i="9"/>
  <c r="D50" i="9"/>
  <c r="C37" i="9"/>
  <c r="B37" i="9"/>
  <c r="B26" i="9"/>
  <c r="B27" i="9"/>
  <c r="D26" i="9"/>
  <c r="D24" i="9"/>
  <c r="C20" i="9"/>
  <c r="B20" i="9"/>
  <c r="F57" i="9"/>
  <c r="F56" i="9"/>
  <c r="F55" i="9"/>
  <c r="C53" i="9"/>
  <c r="F46" i="9"/>
  <c r="F45" i="9"/>
  <c r="E42" i="9"/>
  <c r="F41" i="9"/>
  <c r="F39" i="9"/>
  <c r="E37" i="9"/>
  <c r="F36" i="9"/>
  <c r="F26" i="9"/>
  <c r="F24" i="9"/>
  <c r="E20" i="9"/>
  <c r="G20" i="9" s="1"/>
  <c r="C26" i="6"/>
  <c r="C27" i="6"/>
  <c r="E59" i="6"/>
  <c r="E58" i="6"/>
  <c r="E72" i="6"/>
  <c r="F57" i="6"/>
  <c r="F56" i="6"/>
  <c r="F55" i="6"/>
  <c r="C52" i="6"/>
  <c r="F46" i="6"/>
  <c r="F45" i="6"/>
  <c r="F41" i="6"/>
  <c r="F39" i="6"/>
  <c r="F36" i="6"/>
  <c r="F24" i="6"/>
  <c r="C53" i="6"/>
  <c r="E20" i="6"/>
  <c r="G20" i="6" s="1"/>
  <c r="C20" i="6"/>
  <c r="D52" i="6"/>
  <c r="D50" i="6"/>
  <c r="C37" i="6"/>
  <c r="D26" i="6"/>
  <c r="D24" i="6"/>
  <c r="E42" i="6"/>
  <c r="C26" i="4"/>
  <c r="D24" i="4"/>
  <c r="F26" i="8"/>
  <c r="E53" i="8"/>
  <c r="E106" i="8"/>
  <c r="M106" i="8"/>
  <c r="E105" i="8"/>
  <c r="M105" i="8" s="1"/>
  <c r="E104" i="8"/>
  <c r="M104" i="8"/>
  <c r="E98" i="8"/>
  <c r="M98" i="8" s="1"/>
  <c r="E97" i="8"/>
  <c r="M97" i="8"/>
  <c r="E96" i="8"/>
  <c r="M96" i="8" s="1"/>
  <c r="E45" i="2"/>
  <c r="E59" i="8"/>
  <c r="E58" i="8"/>
  <c r="I77" i="8"/>
  <c r="H77" i="8"/>
  <c r="G77" i="8"/>
  <c r="F30" i="8"/>
  <c r="F29" i="8"/>
  <c r="E72" i="8"/>
  <c r="F57" i="8"/>
  <c r="F56" i="8"/>
  <c r="F55" i="8"/>
  <c r="E98" i="5"/>
  <c r="M98" i="5"/>
  <c r="E97" i="5"/>
  <c r="M97" i="5" s="1"/>
  <c r="E96" i="5"/>
  <c r="M96" i="5"/>
  <c r="E36" i="4"/>
  <c r="E24" i="4"/>
  <c r="E20" i="4"/>
  <c r="F39" i="5"/>
  <c r="F36" i="5"/>
  <c r="F31" i="5"/>
  <c r="F30" i="5"/>
  <c r="F26" i="5"/>
  <c r="F24" i="5"/>
  <c r="E20" i="5"/>
  <c r="G20" i="5" s="1"/>
  <c r="E26" i="4"/>
  <c r="F26" i="4" s="1"/>
  <c r="F24" i="4"/>
  <c r="E21" i="4"/>
  <c r="E27" i="6"/>
  <c r="F26" i="6"/>
  <c r="F52" i="6"/>
  <c r="F50" i="6"/>
  <c r="E27" i="10"/>
  <c r="F26" i="10"/>
  <c r="E27" i="14"/>
  <c r="F26" i="14"/>
  <c r="F15" i="5"/>
  <c r="F14" i="5"/>
  <c r="E57" i="5"/>
  <c r="E56" i="5"/>
  <c r="E56" i="4" s="1"/>
  <c r="E81" i="4" s="1"/>
  <c r="E55" i="5"/>
  <c r="E55" i="4"/>
  <c r="E42" i="4" s="1"/>
  <c r="E104" i="4"/>
  <c r="M104" i="4"/>
  <c r="E46" i="4"/>
  <c r="E102" i="4"/>
  <c r="E45" i="4"/>
  <c r="E101" i="4"/>
  <c r="E41" i="4"/>
  <c r="E100" i="4"/>
  <c r="M100" i="4"/>
  <c r="E18" i="5"/>
  <c r="E82" i="5"/>
  <c r="E71" i="5" s="1"/>
  <c r="E81" i="5"/>
  <c r="E70" i="5" s="1"/>
  <c r="G75" i="5"/>
  <c r="E83" i="5"/>
  <c r="E72" i="5" s="1"/>
  <c r="E43" i="5"/>
  <c r="E105" i="5"/>
  <c r="M105" i="5" s="1"/>
  <c r="E104" i="5"/>
  <c r="M104" i="5"/>
  <c r="E102" i="5"/>
  <c r="K102" i="5" s="1"/>
  <c r="E101" i="5"/>
  <c r="K101" i="5"/>
  <c r="E100" i="5"/>
  <c r="K100" i="5" s="1"/>
  <c r="E48" i="4"/>
  <c r="F56" i="5"/>
  <c r="F55" i="5"/>
  <c r="F46" i="5"/>
  <c r="F45" i="5"/>
  <c r="E42" i="5"/>
  <c r="F46" i="4"/>
  <c r="E18" i="4"/>
  <c r="F55" i="4"/>
  <c r="I47" i="9"/>
  <c r="I48" i="9"/>
  <c r="I56" i="9"/>
  <c r="I119" i="9" s="1"/>
  <c r="H47" i="9"/>
  <c r="I102" i="9"/>
  <c r="M102" i="9" s="1"/>
  <c r="I101" i="9"/>
  <c r="M101" i="9"/>
  <c r="I46" i="4"/>
  <c r="I48" i="4"/>
  <c r="I45" i="4"/>
  <c r="I47" i="4"/>
  <c r="I117" i="9"/>
  <c r="I114" i="9"/>
  <c r="H48" i="9"/>
  <c r="I102" i="4"/>
  <c r="M102" i="4"/>
  <c r="I101" i="4"/>
  <c r="M101" i="4" s="1"/>
  <c r="E33" i="10"/>
  <c r="E98" i="4"/>
  <c r="E97" i="4"/>
  <c r="E56" i="10"/>
  <c r="E81" i="10"/>
  <c r="E57" i="10"/>
  <c r="E106" i="10" s="1"/>
  <c r="E105" i="10"/>
  <c r="E98" i="10"/>
  <c r="E97" i="10"/>
  <c r="E58" i="10"/>
  <c r="F57" i="10"/>
  <c r="F56" i="10"/>
  <c r="F31" i="10"/>
  <c r="F30" i="10"/>
  <c r="F30" i="4"/>
  <c r="F63" i="4"/>
  <c r="F62" i="4"/>
  <c r="E70" i="4"/>
  <c r="F56" i="4"/>
  <c r="E58" i="4"/>
  <c r="E105" i="4"/>
  <c r="E32" i="10"/>
  <c r="I33" i="10"/>
  <c r="I56" i="10"/>
  <c r="I58" i="10"/>
  <c r="I59" i="10" s="1"/>
  <c r="I32" i="10"/>
  <c r="H32" i="10" s="1"/>
  <c r="I119" i="10"/>
  <c r="I118" i="10"/>
  <c r="I117" i="10"/>
  <c r="I116" i="10"/>
  <c r="I114" i="10"/>
  <c r="I113" i="10"/>
  <c r="I98" i="4"/>
  <c r="I97" i="4"/>
  <c r="M97" i="4" s="1"/>
  <c r="I62" i="10"/>
  <c r="I98" i="10"/>
  <c r="M98" i="10"/>
  <c r="I97" i="10"/>
  <c r="M97" i="10"/>
  <c r="E52" i="5"/>
  <c r="F52" i="5" s="1"/>
  <c r="F50" i="5"/>
  <c r="E37" i="5"/>
  <c r="G32" i="10" l="1"/>
  <c r="G33" i="10" s="1"/>
  <c r="H33" i="10"/>
  <c r="E82" i="10"/>
  <c r="I58" i="9"/>
  <c r="I59" i="9" s="1"/>
  <c r="I116" i="9"/>
  <c r="B72" i="10"/>
  <c r="D83" i="10"/>
  <c r="B72" i="12"/>
  <c r="D83" i="12"/>
  <c r="F51" i="4"/>
  <c r="D51" i="4"/>
  <c r="I62" i="9"/>
  <c r="I57" i="9"/>
  <c r="I105" i="9"/>
  <c r="M105" i="9" s="1"/>
  <c r="I81" i="9"/>
  <c r="M100" i="5"/>
  <c r="L100" i="5"/>
  <c r="M102" i="5"/>
  <c r="L102" i="5"/>
  <c r="H75" i="5"/>
  <c r="D26" i="4"/>
  <c r="B72" i="11"/>
  <c r="D83" i="11"/>
  <c r="D83" i="5"/>
  <c r="C72" i="5"/>
  <c r="E53" i="5"/>
  <c r="M98" i="4"/>
  <c r="E59" i="10"/>
  <c r="E70" i="10"/>
  <c r="E83" i="10"/>
  <c r="E72" i="10" s="1"/>
  <c r="I115" i="9"/>
  <c r="G47" i="9"/>
  <c r="E39" i="4"/>
  <c r="B37" i="4"/>
  <c r="B52" i="4"/>
  <c r="G51" i="4"/>
  <c r="D50" i="4"/>
  <c r="C52" i="4"/>
  <c r="I57" i="10"/>
  <c r="I115" i="10"/>
  <c r="I105" i="10"/>
  <c r="M105" i="10" s="1"/>
  <c r="G75" i="10"/>
  <c r="I113" i="9"/>
  <c r="I118" i="9"/>
  <c r="E58" i="5"/>
  <c r="M101" i="5"/>
  <c r="L101" i="5"/>
  <c r="G76" i="5"/>
  <c r="F45" i="4"/>
  <c r="E47" i="4"/>
  <c r="E57" i="4"/>
  <c r="E106" i="5"/>
  <c r="M106" i="5" s="1"/>
  <c r="E59" i="5"/>
  <c r="F57" i="5"/>
  <c r="F52" i="11"/>
  <c r="D52" i="11"/>
  <c r="C53" i="11"/>
  <c r="D82" i="6"/>
  <c r="B83" i="6"/>
  <c r="B72" i="6" s="1"/>
  <c r="B71" i="6"/>
  <c r="C164" i="12"/>
  <c r="E164" i="12" s="1"/>
  <c r="F164" i="12" s="1"/>
  <c r="C162" i="12"/>
  <c r="E162" i="12" s="1"/>
  <c r="F162" i="12" s="1"/>
  <c r="C160" i="12"/>
  <c r="E160" i="12" s="1"/>
  <c r="F160" i="12" s="1"/>
  <c r="C165" i="12"/>
  <c r="E165" i="12" s="1"/>
  <c r="D83" i="14"/>
  <c r="B72" i="14"/>
  <c r="C165" i="10"/>
  <c r="E165" i="10" s="1"/>
  <c r="C165" i="8"/>
  <c r="E165" i="8" s="1"/>
  <c r="D15" i="5"/>
  <c r="D52" i="5"/>
  <c r="D15" i="6"/>
  <c r="C83" i="6"/>
  <c r="B83" i="7"/>
  <c r="B16" i="8"/>
  <c r="B27" i="10"/>
  <c r="D52" i="10"/>
  <c r="D81" i="10"/>
  <c r="D81" i="11"/>
  <c r="D81" i="12"/>
  <c r="B16" i="13"/>
  <c r="B27" i="13"/>
  <c r="B43" i="13"/>
  <c r="B16" i="14"/>
  <c r="C83" i="4"/>
  <c r="G38" i="4"/>
  <c r="E150" i="6"/>
  <c r="I122" i="6"/>
  <c r="E142" i="13"/>
  <c r="I114" i="13"/>
  <c r="E152" i="6"/>
  <c r="I124" i="6"/>
  <c r="E154" i="6"/>
  <c r="I126" i="6"/>
  <c r="E146" i="11"/>
  <c r="I118" i="11"/>
  <c r="I81" i="6"/>
  <c r="C67" i="4"/>
  <c r="D67" i="4" s="1"/>
  <c r="F67" i="5"/>
  <c r="E141" i="5"/>
  <c r="I113" i="5"/>
  <c r="E151" i="14"/>
  <c r="I123" i="14"/>
  <c r="I132" i="14" s="1"/>
  <c r="E143" i="5"/>
  <c r="I115" i="5"/>
  <c r="E144" i="13"/>
  <c r="I116" i="13"/>
  <c r="E145" i="5"/>
  <c r="I117" i="5"/>
  <c r="E147" i="8"/>
  <c r="I119" i="8"/>
  <c r="H39" i="4"/>
  <c r="I43" i="4"/>
  <c r="C160" i="10"/>
  <c r="E160" i="10" s="1"/>
  <c r="F160" i="10" s="1"/>
  <c r="C162" i="10"/>
  <c r="E162" i="10" s="1"/>
  <c r="F162" i="10" s="1"/>
  <c r="C160" i="8"/>
  <c r="E160" i="8" s="1"/>
  <c r="C162" i="8"/>
  <c r="E162" i="8" s="1"/>
  <c r="B71" i="7"/>
  <c r="B70" i="8"/>
  <c r="B83" i="8"/>
  <c r="B83" i="9"/>
  <c r="B70" i="12"/>
  <c r="B83" i="13"/>
  <c r="D26" i="14"/>
  <c r="B70" i="14"/>
  <c r="E150" i="8"/>
  <c r="I122" i="8"/>
  <c r="I131" i="8" s="1"/>
  <c r="E152" i="8"/>
  <c r="I124" i="8"/>
  <c r="I133" i="8" s="1"/>
  <c r="E154" i="8"/>
  <c r="I126" i="8"/>
  <c r="I135" i="8" s="1"/>
  <c r="E155" i="5"/>
  <c r="I127" i="5"/>
  <c r="E147" i="12"/>
  <c r="I119" i="12"/>
  <c r="I86" i="8"/>
  <c r="E49" i="2" s="1"/>
  <c r="H49" i="2" s="1"/>
  <c r="E27" i="4"/>
  <c r="B43" i="7"/>
  <c r="D15" i="7"/>
  <c r="B70" i="10"/>
  <c r="D39" i="11"/>
  <c r="B70" i="11"/>
  <c r="B70" i="13"/>
  <c r="C71" i="4"/>
  <c r="E150" i="12"/>
  <c r="F150" i="12" s="1"/>
  <c r="I122" i="12"/>
  <c r="I131" i="12" s="1"/>
  <c r="I123" i="6"/>
  <c r="E152" i="12"/>
  <c r="F152" i="12" s="1"/>
  <c r="I124" i="12"/>
  <c r="I133" i="12" s="1"/>
  <c r="E153" i="14"/>
  <c r="I125" i="14"/>
  <c r="I134" i="14" s="1"/>
  <c r="I125" i="5"/>
  <c r="E154" i="12"/>
  <c r="F154" i="12" s="1"/>
  <c r="I126" i="12"/>
  <c r="I135" i="12" s="1"/>
  <c r="E146" i="14"/>
  <c r="I118" i="14"/>
  <c r="E147" i="6"/>
  <c r="I119" i="6"/>
  <c r="H25" i="4"/>
  <c r="I62" i="4"/>
  <c r="E24" i="2"/>
  <c r="H24" i="2" s="1"/>
  <c r="I91" i="6"/>
  <c r="E28" i="2" s="1"/>
  <c r="H28" i="2" s="1"/>
  <c r="G8" i="8"/>
  <c r="G24" i="8" s="1"/>
  <c r="H9" i="8"/>
  <c r="G8" i="14"/>
  <c r="H9" i="14"/>
  <c r="H11" i="4"/>
  <c r="G11" i="4"/>
  <c r="B21" i="5"/>
  <c r="B29" i="4"/>
  <c r="I63" i="12"/>
  <c r="G13" i="6"/>
  <c r="G13" i="8"/>
  <c r="G45" i="13"/>
  <c r="G101" i="13" s="1"/>
  <c r="K101" i="13" s="1"/>
  <c r="C36" i="4"/>
  <c r="G8" i="6"/>
  <c r="H9" i="6"/>
  <c r="G8" i="10"/>
  <c r="G24" i="10" s="1"/>
  <c r="H9" i="10"/>
  <c r="I82" i="8"/>
  <c r="I86" i="11"/>
  <c r="G75" i="13"/>
  <c r="E70" i="13"/>
  <c r="E83" i="13"/>
  <c r="E72" i="13" s="1"/>
  <c r="D106" i="4"/>
  <c r="G41" i="11"/>
  <c r="G45" i="10"/>
  <c r="G101" i="10" s="1"/>
  <c r="K101" i="10" s="1"/>
  <c r="I127" i="14"/>
  <c r="I118" i="13"/>
  <c r="I128" i="6"/>
  <c r="I128" i="12"/>
  <c r="I128" i="8"/>
  <c r="I119" i="5"/>
  <c r="I90" i="8"/>
  <c r="E71" i="7"/>
  <c r="G76" i="7"/>
  <c r="H76" i="7" s="1"/>
  <c r="I76" i="7" s="1"/>
  <c r="I82" i="7" s="1"/>
  <c r="E83" i="7"/>
  <c r="E72" i="7" s="1"/>
  <c r="E70" i="7"/>
  <c r="G75" i="7"/>
  <c r="G75" i="4" s="1"/>
  <c r="D97" i="4"/>
  <c r="G41" i="8"/>
  <c r="G45" i="8" s="1"/>
  <c r="G101" i="8" s="1"/>
  <c r="K101" i="8" s="1"/>
  <c r="I63" i="14"/>
  <c r="I82" i="14"/>
  <c r="F67" i="11"/>
  <c r="G8" i="13"/>
  <c r="G29" i="13" s="1"/>
  <c r="H9" i="13"/>
  <c r="G8" i="9"/>
  <c r="G29" i="9" s="1"/>
  <c r="H9" i="9"/>
  <c r="G8" i="12"/>
  <c r="G24" i="12" s="1"/>
  <c r="H9" i="12"/>
  <c r="E83" i="9"/>
  <c r="E72" i="9" s="1"/>
  <c r="E83" i="11"/>
  <c r="E72" i="11" s="1"/>
  <c r="G75" i="14"/>
  <c r="B55" i="4"/>
  <c r="G47" i="12"/>
  <c r="G39" i="12"/>
  <c r="G41" i="12" s="1"/>
  <c r="H39" i="14"/>
  <c r="H41" i="14" s="1"/>
  <c r="G21" i="14"/>
  <c r="H21" i="14" s="1"/>
  <c r="H39" i="10"/>
  <c r="H41" i="10" s="1"/>
  <c r="G21" i="10"/>
  <c r="H21" i="10" s="1"/>
  <c r="G21" i="8"/>
  <c r="H21" i="8" s="1"/>
  <c r="H45" i="6"/>
  <c r="G47" i="6"/>
  <c r="I57" i="11"/>
  <c r="E50" i="7"/>
  <c r="I50" i="9"/>
  <c r="F66" i="4"/>
  <c r="H41" i="13"/>
  <c r="I56" i="4"/>
  <c r="I50" i="10"/>
  <c r="G8" i="7"/>
  <c r="G29" i="7" s="1"/>
  <c r="H9" i="7"/>
  <c r="G8" i="11"/>
  <c r="G24" i="11" s="1"/>
  <c r="H9" i="11"/>
  <c r="G76" i="12"/>
  <c r="H76" i="12" s="1"/>
  <c r="I76" i="12" s="1"/>
  <c r="G75" i="12"/>
  <c r="G39" i="9"/>
  <c r="G41" i="9" s="1"/>
  <c r="H39" i="12"/>
  <c r="H41" i="12" s="1"/>
  <c r="G21" i="12"/>
  <c r="H21" i="12" s="1"/>
  <c r="H39" i="9"/>
  <c r="H41" i="9" s="1"/>
  <c r="G21" i="9"/>
  <c r="H21" i="9" s="1"/>
  <c r="G21" i="6"/>
  <c r="H21" i="6" s="1"/>
  <c r="I57" i="13"/>
  <c r="H36" i="7"/>
  <c r="H36" i="4" s="1"/>
  <c r="G36" i="7"/>
  <c r="E67" i="4"/>
  <c r="F67" i="4" s="1"/>
  <c r="E33" i="4"/>
  <c r="G41" i="14"/>
  <c r="H39" i="11"/>
  <c r="H41" i="11" s="1"/>
  <c r="G21" i="11"/>
  <c r="H21" i="11" s="1"/>
  <c r="H39" i="8"/>
  <c r="H41" i="8" s="1"/>
  <c r="C31" i="8"/>
  <c r="C31" i="4" s="1"/>
  <c r="C41" i="5"/>
  <c r="I50" i="7"/>
  <c r="C159" i="4"/>
  <c r="E159" i="4" s="1"/>
  <c r="F159" i="4" s="1"/>
  <c r="C132" i="4"/>
  <c r="C160" i="4" s="1"/>
  <c r="E160" i="4" s="1"/>
  <c r="F160" i="4" s="1"/>
  <c r="G8" i="5"/>
  <c r="H9" i="5"/>
  <c r="C163" i="4"/>
  <c r="E163" i="4" s="1"/>
  <c r="F163" i="4" s="1"/>
  <c r="C134" i="4"/>
  <c r="C162" i="4" s="1"/>
  <c r="E162" i="4" s="1"/>
  <c r="F162" i="4" s="1"/>
  <c r="C144" i="4"/>
  <c r="E144" i="4" s="1"/>
  <c r="F144" i="4" s="1"/>
  <c r="E4" i="4"/>
  <c r="C146" i="4"/>
  <c r="E146" i="4" s="1"/>
  <c r="F146" i="4" s="1"/>
  <c r="C136" i="4"/>
  <c r="C164" i="4" s="1"/>
  <c r="E164" i="4" s="1"/>
  <c r="F164" i="4" s="1"/>
  <c r="C143" i="4"/>
  <c r="E143" i="4" s="1"/>
  <c r="F143" i="4" s="1"/>
  <c r="C150" i="4"/>
  <c r="E150" i="4" s="1"/>
  <c r="F150" i="4" s="1"/>
  <c r="G26" i="11" l="1"/>
  <c r="G50" i="11"/>
  <c r="G26" i="12"/>
  <c r="G50" i="12"/>
  <c r="C98" i="4"/>
  <c r="D98" i="4" s="1"/>
  <c r="D31" i="4"/>
  <c r="F31" i="4"/>
  <c r="I87" i="7"/>
  <c r="E33" i="2"/>
  <c r="C10" i="3"/>
  <c r="G26" i="8"/>
  <c r="G50" i="8"/>
  <c r="G26" i="10"/>
  <c r="G50" i="10"/>
  <c r="G8" i="4"/>
  <c r="G9" i="4" s="1"/>
  <c r="I50" i="4"/>
  <c r="I37" i="7"/>
  <c r="I52" i="7"/>
  <c r="I53" i="7" s="1"/>
  <c r="H45" i="8"/>
  <c r="H101" i="8" s="1"/>
  <c r="L101" i="8" s="1"/>
  <c r="H100" i="8"/>
  <c r="L100" i="8" s="1"/>
  <c r="I63" i="13"/>
  <c r="I82" i="13" s="1"/>
  <c r="I106" i="13"/>
  <c r="M106" i="13" s="1"/>
  <c r="I127" i="13"/>
  <c r="I125" i="13"/>
  <c r="I128" i="13"/>
  <c r="I137" i="13" s="1"/>
  <c r="I123" i="13"/>
  <c r="I126" i="13"/>
  <c r="I135" i="13" s="1"/>
  <c r="I124" i="13"/>
  <c r="I133" i="13" s="1"/>
  <c r="I122" i="13"/>
  <c r="I131" i="13" s="1"/>
  <c r="H100" i="9"/>
  <c r="L100" i="9" s="1"/>
  <c r="H75" i="12"/>
  <c r="G77" i="12"/>
  <c r="H45" i="13"/>
  <c r="H101" i="13" s="1"/>
  <c r="L101" i="13" s="1"/>
  <c r="H46" i="13"/>
  <c r="H102" i="13" s="1"/>
  <c r="L102" i="13" s="1"/>
  <c r="H100" i="13"/>
  <c r="L100" i="13" s="1"/>
  <c r="I63" i="11"/>
  <c r="I82" i="11"/>
  <c r="I127" i="11"/>
  <c r="I125" i="11"/>
  <c r="I134" i="11" s="1"/>
  <c r="I123" i="11"/>
  <c r="I132" i="11" s="1"/>
  <c r="I106" i="11"/>
  <c r="M106" i="11" s="1"/>
  <c r="I126" i="11"/>
  <c r="I135" i="11" s="1"/>
  <c r="I124" i="11"/>
  <c r="I133" i="11" s="1"/>
  <c r="I122" i="11"/>
  <c r="I131" i="11" s="1"/>
  <c r="I128" i="11"/>
  <c r="I137" i="11" s="1"/>
  <c r="G100" i="12"/>
  <c r="K100" i="12" s="1"/>
  <c r="G13" i="7"/>
  <c r="G29" i="6"/>
  <c r="G13" i="12"/>
  <c r="B96" i="4"/>
  <c r="B32" i="4"/>
  <c r="B21" i="4"/>
  <c r="B33" i="4"/>
  <c r="G13" i="11"/>
  <c r="I132" i="6"/>
  <c r="I137" i="12"/>
  <c r="I83" i="6"/>
  <c r="I86" i="6"/>
  <c r="E19" i="2"/>
  <c r="I135" i="6"/>
  <c r="I132" i="13"/>
  <c r="B72" i="7"/>
  <c r="D83" i="7"/>
  <c r="G24" i="5"/>
  <c r="H76" i="5"/>
  <c r="I118" i="4"/>
  <c r="C53" i="4"/>
  <c r="D52" i="4"/>
  <c r="B53" i="4"/>
  <c r="H77" i="5"/>
  <c r="I75" i="5"/>
  <c r="I127" i="9"/>
  <c r="I127" i="4" s="1"/>
  <c r="I125" i="9"/>
  <c r="I123" i="9"/>
  <c r="I132" i="9" s="1"/>
  <c r="I63" i="9"/>
  <c r="I124" i="9"/>
  <c r="I133" i="9" s="1"/>
  <c r="I82" i="9"/>
  <c r="I106" i="9"/>
  <c r="M106" i="9" s="1"/>
  <c r="I126" i="9"/>
  <c r="I135" i="9" s="1"/>
  <c r="I128" i="9"/>
  <c r="I137" i="9" s="1"/>
  <c r="I122" i="9"/>
  <c r="C29" i="5"/>
  <c r="C41" i="4"/>
  <c r="C47" i="5"/>
  <c r="D41" i="5"/>
  <c r="C100" i="5"/>
  <c r="D100" i="5" s="1"/>
  <c r="C48" i="5"/>
  <c r="C42" i="5"/>
  <c r="F41" i="5"/>
  <c r="G30" i="7"/>
  <c r="H29" i="7"/>
  <c r="G96" i="7"/>
  <c r="K96" i="7" s="1"/>
  <c r="G45" i="6"/>
  <c r="G48" i="6"/>
  <c r="H45" i="10"/>
  <c r="H101" i="10" s="1"/>
  <c r="L101" i="10" s="1"/>
  <c r="H100" i="10"/>
  <c r="L100" i="10" s="1"/>
  <c r="G45" i="12"/>
  <c r="G101" i="12" s="1"/>
  <c r="K101" i="12" s="1"/>
  <c r="G48" i="12"/>
  <c r="G30" i="9"/>
  <c r="G31" i="9"/>
  <c r="H29" i="9"/>
  <c r="G55" i="9"/>
  <c r="G104" i="9" s="1"/>
  <c r="K104" i="9" s="1"/>
  <c r="G96" i="9"/>
  <c r="K96" i="9" s="1"/>
  <c r="I87" i="14"/>
  <c r="E124" i="2"/>
  <c r="G13" i="5"/>
  <c r="I137" i="5"/>
  <c r="I119" i="4"/>
  <c r="I136" i="13"/>
  <c r="G46" i="11"/>
  <c r="G102" i="11" s="1"/>
  <c r="K102" i="11" s="1"/>
  <c r="G45" i="11"/>
  <c r="G101" i="11" s="1"/>
  <c r="K101" i="11" s="1"/>
  <c r="G100" i="11"/>
  <c r="K100" i="11" s="1"/>
  <c r="H75" i="13"/>
  <c r="G77" i="13"/>
  <c r="G15" i="8"/>
  <c r="G14" i="8" s="1"/>
  <c r="I57" i="4"/>
  <c r="G29" i="14"/>
  <c r="E9" i="3"/>
  <c r="I137" i="6"/>
  <c r="G24" i="6"/>
  <c r="B72" i="13"/>
  <c r="D83" i="13"/>
  <c r="D83" i="9"/>
  <c r="B72" i="9"/>
  <c r="I135" i="5"/>
  <c r="I117" i="4"/>
  <c r="I133" i="5"/>
  <c r="I115" i="4"/>
  <c r="I131" i="5"/>
  <c r="I113" i="4"/>
  <c r="C72" i="4"/>
  <c r="D83" i="4"/>
  <c r="C72" i="6"/>
  <c r="D83" i="6"/>
  <c r="E82" i="4"/>
  <c r="E59" i="4"/>
  <c r="F57" i="4"/>
  <c r="E106" i="4"/>
  <c r="I131" i="9"/>
  <c r="I133" i="10"/>
  <c r="G48" i="9"/>
  <c r="G45" i="9"/>
  <c r="G101" i="9" s="1"/>
  <c r="K101" i="9" s="1"/>
  <c r="I72" i="9"/>
  <c r="E71" i="10"/>
  <c r="G76" i="10"/>
  <c r="H76" i="10" s="1"/>
  <c r="I76" i="10" s="1"/>
  <c r="H45" i="9"/>
  <c r="H101" i="9" s="1"/>
  <c r="L101" i="9" s="1"/>
  <c r="H45" i="11"/>
  <c r="H101" i="11" s="1"/>
  <c r="L101" i="11" s="1"/>
  <c r="H100" i="11"/>
  <c r="L100" i="11" s="1"/>
  <c r="G39" i="7"/>
  <c r="G41" i="7" s="1"/>
  <c r="G36" i="4"/>
  <c r="H100" i="12"/>
  <c r="L100" i="12" s="1"/>
  <c r="I52" i="10"/>
  <c r="I53" i="10" s="1"/>
  <c r="I37" i="10"/>
  <c r="I37" i="9"/>
  <c r="I52" i="9"/>
  <c r="I53" i="9" s="1"/>
  <c r="H101" i="6"/>
  <c r="L101" i="6" s="1"/>
  <c r="B104" i="4"/>
  <c r="D104" i="4" s="1"/>
  <c r="B18" i="4"/>
  <c r="D55" i="4"/>
  <c r="B59" i="4"/>
  <c r="B42" i="4"/>
  <c r="B58" i="4"/>
  <c r="H75" i="7"/>
  <c r="H75" i="4" s="1"/>
  <c r="G77" i="7"/>
  <c r="E88" i="2"/>
  <c r="H88" i="2" s="1"/>
  <c r="I90" i="11"/>
  <c r="G29" i="10"/>
  <c r="C39" i="4"/>
  <c r="F39" i="4" s="1"/>
  <c r="D36" i="4"/>
  <c r="C37" i="4"/>
  <c r="G46" i="13"/>
  <c r="G102" i="13" s="1"/>
  <c r="K102" i="13" s="1"/>
  <c r="G15" i="6"/>
  <c r="G14" i="6" s="1"/>
  <c r="H46" i="6"/>
  <c r="G13" i="14"/>
  <c r="C43" i="5"/>
  <c r="I136" i="5"/>
  <c r="G39" i="4"/>
  <c r="I136" i="11"/>
  <c r="I133" i="6"/>
  <c r="I124" i="4"/>
  <c r="I131" i="6"/>
  <c r="G24" i="14"/>
  <c r="G24" i="13"/>
  <c r="H75" i="10"/>
  <c r="G77" i="10"/>
  <c r="I125" i="10"/>
  <c r="I134" i="10" s="1"/>
  <c r="I128" i="10"/>
  <c r="I137" i="10" s="1"/>
  <c r="I106" i="10"/>
  <c r="M106" i="10" s="1"/>
  <c r="I122" i="10"/>
  <c r="I131" i="10" s="1"/>
  <c r="I126" i="10"/>
  <c r="I135" i="10" s="1"/>
  <c r="I123" i="10"/>
  <c r="I132" i="10" s="1"/>
  <c r="I127" i="10"/>
  <c r="I136" i="10" s="1"/>
  <c r="I124" i="10"/>
  <c r="I63" i="10"/>
  <c r="E43" i="4"/>
  <c r="B27" i="4"/>
  <c r="I83" i="9"/>
  <c r="E58" i="2"/>
  <c r="I86" i="9"/>
  <c r="I114" i="4"/>
  <c r="E5" i="4"/>
  <c r="F4" i="4"/>
  <c r="C98" i="8"/>
  <c r="D98" i="8" s="1"/>
  <c r="D31" i="8"/>
  <c r="F31" i="8"/>
  <c r="C33" i="8"/>
  <c r="G100" i="14"/>
  <c r="K100" i="14" s="1"/>
  <c r="H39" i="7"/>
  <c r="H41" i="7" s="1"/>
  <c r="G100" i="9"/>
  <c r="K100" i="9" s="1"/>
  <c r="G42" i="9"/>
  <c r="G46" i="9"/>
  <c r="G102" i="9" s="1"/>
  <c r="K102" i="9" s="1"/>
  <c r="G29" i="11"/>
  <c r="E8" i="3"/>
  <c r="I58" i="4"/>
  <c r="I59" i="4" s="1"/>
  <c r="I105" i="4"/>
  <c r="M105" i="4" s="1"/>
  <c r="E52" i="7"/>
  <c r="E37" i="7"/>
  <c r="F50" i="7"/>
  <c r="E50" i="4"/>
  <c r="H45" i="14"/>
  <c r="H101" i="14" s="1"/>
  <c r="L101" i="14" s="1"/>
  <c r="H100" i="14"/>
  <c r="L100" i="14" s="1"/>
  <c r="H75" i="14"/>
  <c r="G77" i="14"/>
  <c r="G29" i="12"/>
  <c r="G30" i="13"/>
  <c r="G31" i="13"/>
  <c r="H29" i="13"/>
  <c r="G55" i="13"/>
  <c r="G96" i="13"/>
  <c r="K96" i="13" s="1"/>
  <c r="G46" i="8"/>
  <c r="G102" i="8" s="1"/>
  <c r="K102" i="8" s="1"/>
  <c r="G100" i="8"/>
  <c r="K100" i="8" s="1"/>
  <c r="G13" i="9"/>
  <c r="E53" i="2"/>
  <c r="H53" i="2" s="1"/>
  <c r="G46" i="10"/>
  <c r="G102" i="10" s="1"/>
  <c r="K102" i="10" s="1"/>
  <c r="I87" i="8"/>
  <c r="E46" i="2"/>
  <c r="H45" i="12"/>
  <c r="H101" i="12" s="1"/>
  <c r="L101" i="12" s="1"/>
  <c r="G13" i="10"/>
  <c r="I82" i="12"/>
  <c r="G45" i="14"/>
  <c r="G101" i="14" s="1"/>
  <c r="K101" i="14" s="1"/>
  <c r="G29" i="8"/>
  <c r="I136" i="14"/>
  <c r="I134" i="5"/>
  <c r="I125" i="4"/>
  <c r="I83" i="8"/>
  <c r="B72" i="8"/>
  <c r="D83" i="8"/>
  <c r="I137" i="8"/>
  <c r="I134" i="13"/>
  <c r="G13" i="13"/>
  <c r="G24" i="9"/>
  <c r="G24" i="7"/>
  <c r="F36" i="4"/>
  <c r="G77" i="5"/>
  <c r="I134" i="9"/>
  <c r="I116" i="4"/>
  <c r="I134" i="4" s="1"/>
  <c r="D10" i="3" l="1"/>
  <c r="I87" i="13"/>
  <c r="E111" i="2"/>
  <c r="G57" i="13"/>
  <c r="G98" i="13"/>
  <c r="K98" i="13" s="1"/>
  <c r="I75" i="14"/>
  <c r="H77" i="14"/>
  <c r="G26" i="13"/>
  <c r="G27" i="13" s="1"/>
  <c r="G50" i="13"/>
  <c r="G45" i="7"/>
  <c r="G101" i="7" s="1"/>
  <c r="K101" i="7" s="1"/>
  <c r="G41" i="4"/>
  <c r="G100" i="7"/>
  <c r="K100" i="7" s="1"/>
  <c r="E71" i="4"/>
  <c r="E83" i="4"/>
  <c r="E72" i="4" s="1"/>
  <c r="G30" i="14"/>
  <c r="G31" i="14" s="1"/>
  <c r="H29" i="14"/>
  <c r="G55" i="14"/>
  <c r="G96" i="14"/>
  <c r="K96" i="14" s="1"/>
  <c r="G15" i="13"/>
  <c r="G14" i="13" s="1"/>
  <c r="G15" i="10"/>
  <c r="G14" i="10" s="1"/>
  <c r="G104" i="13"/>
  <c r="K104" i="13" s="1"/>
  <c r="G42" i="13"/>
  <c r="G30" i="12"/>
  <c r="G31" i="12" s="1"/>
  <c r="H29" i="12"/>
  <c r="G55" i="12"/>
  <c r="G96" i="12"/>
  <c r="K96" i="12" s="1"/>
  <c r="H100" i="7"/>
  <c r="L100" i="7" s="1"/>
  <c r="H45" i="7"/>
  <c r="H46" i="7" s="1"/>
  <c r="H41" i="4"/>
  <c r="I122" i="4"/>
  <c r="E92" i="2"/>
  <c r="H92" i="2" s="1"/>
  <c r="E15" i="3"/>
  <c r="I106" i="4"/>
  <c r="M106" i="4" s="1"/>
  <c r="I75" i="13"/>
  <c r="H77" i="13"/>
  <c r="G13" i="4"/>
  <c r="G15" i="5"/>
  <c r="G14" i="5" s="1"/>
  <c r="H46" i="10"/>
  <c r="H102" i="10" s="1"/>
  <c r="L102" i="10" s="1"/>
  <c r="G56" i="7"/>
  <c r="G97" i="7"/>
  <c r="K97" i="7" s="1"/>
  <c r="C29" i="4"/>
  <c r="C21" i="5"/>
  <c r="G21" i="5" s="1"/>
  <c r="C32" i="5"/>
  <c r="C96" i="5"/>
  <c r="D96" i="5" s="1"/>
  <c r="C33" i="5"/>
  <c r="D29" i="5"/>
  <c r="F29" i="5"/>
  <c r="C27" i="5"/>
  <c r="G76" i="4"/>
  <c r="E23" i="2"/>
  <c r="H23" i="2" s="1"/>
  <c r="I90" i="6"/>
  <c r="I128" i="4"/>
  <c r="G46" i="12"/>
  <c r="G102" i="12" s="1"/>
  <c r="K102" i="12" s="1"/>
  <c r="I75" i="12"/>
  <c r="H77" i="12"/>
  <c r="H46" i="8"/>
  <c r="H102" i="8" s="1"/>
  <c r="L102" i="8" s="1"/>
  <c r="I52" i="4"/>
  <c r="I53" i="4" s="1"/>
  <c r="I37" i="4"/>
  <c r="G27" i="10"/>
  <c r="G52" i="12"/>
  <c r="G53" i="12" s="1"/>
  <c r="G37" i="12"/>
  <c r="E53" i="7"/>
  <c r="F52" i="7"/>
  <c r="I88" i="8"/>
  <c r="E51" i="2" s="1"/>
  <c r="H51" i="2" s="1"/>
  <c r="H153" i="2" s="1"/>
  <c r="E47" i="2"/>
  <c r="I72" i="8"/>
  <c r="G30" i="8"/>
  <c r="G31" i="8"/>
  <c r="H29" i="8"/>
  <c r="G55" i="8"/>
  <c r="G96" i="8"/>
  <c r="K96" i="8" s="1"/>
  <c r="H30" i="13"/>
  <c r="H55" i="13"/>
  <c r="H96" i="13"/>
  <c r="L96" i="13" s="1"/>
  <c r="H26" i="13"/>
  <c r="H24" i="13" s="1"/>
  <c r="H46" i="14"/>
  <c r="H102" i="14" s="1"/>
  <c r="L102" i="14" s="1"/>
  <c r="E22" i="3"/>
  <c r="H5" i="9"/>
  <c r="H8" i="9" s="1"/>
  <c r="H13" i="9" s="1"/>
  <c r="H5" i="13"/>
  <c r="H8" i="13" s="1"/>
  <c r="H13" i="13" s="1"/>
  <c r="H5" i="6"/>
  <c r="H8" i="6" s="1"/>
  <c r="H13" i="6" s="1"/>
  <c r="H5" i="5"/>
  <c r="H8" i="5" s="1"/>
  <c r="H5" i="14"/>
  <c r="H8" i="14" s="1"/>
  <c r="H13" i="14" s="1"/>
  <c r="H5" i="10"/>
  <c r="H8" i="10" s="1"/>
  <c r="H13" i="10" s="1"/>
  <c r="H5" i="11"/>
  <c r="H8" i="11" s="1"/>
  <c r="H13" i="11" s="1"/>
  <c r="H5" i="12"/>
  <c r="H8" i="12" s="1"/>
  <c r="H13" i="12" s="1"/>
  <c r="H5" i="8"/>
  <c r="H8" i="8" s="1"/>
  <c r="H13" i="8" s="1"/>
  <c r="H5" i="7"/>
  <c r="H8" i="7" s="1"/>
  <c r="H13" i="7" s="1"/>
  <c r="E6" i="5"/>
  <c r="E6" i="8"/>
  <c r="E6" i="11"/>
  <c r="G6" i="4"/>
  <c r="E6" i="9"/>
  <c r="G4" i="4"/>
  <c r="E6" i="10"/>
  <c r="E6" i="13"/>
  <c r="E6" i="14"/>
  <c r="E6" i="12"/>
  <c r="H5" i="4"/>
  <c r="H6" i="4" s="1"/>
  <c r="E6" i="6"/>
  <c r="E6" i="7"/>
  <c r="F5" i="4"/>
  <c r="E9" i="4"/>
  <c r="E60" i="2"/>
  <c r="I88" i="9"/>
  <c r="E64" i="2" s="1"/>
  <c r="H64" i="2" s="1"/>
  <c r="H154" i="2" s="1"/>
  <c r="H77" i="10"/>
  <c r="I75" i="10"/>
  <c r="G43" i="4"/>
  <c r="H46" i="11"/>
  <c r="H102" i="11" s="1"/>
  <c r="L102" i="11" s="1"/>
  <c r="I133" i="4"/>
  <c r="G26" i="6"/>
  <c r="G27" i="6" s="1"/>
  <c r="G50" i="6"/>
  <c r="H30" i="9"/>
  <c r="H31" i="9" s="1"/>
  <c r="H55" i="9"/>
  <c r="H26" i="9"/>
  <c r="H24" i="9" s="1"/>
  <c r="H96" i="9"/>
  <c r="L96" i="9" s="1"/>
  <c r="G55" i="7"/>
  <c r="G104" i="7" s="1"/>
  <c r="K104" i="7" s="1"/>
  <c r="I87" i="9"/>
  <c r="E59" i="2"/>
  <c r="I136" i="9"/>
  <c r="G26" i="5"/>
  <c r="G50" i="5"/>
  <c r="G24" i="4"/>
  <c r="I126" i="4"/>
  <c r="I88" i="6"/>
  <c r="E25" i="2" s="1"/>
  <c r="H25" i="2" s="1"/>
  <c r="H151" i="2" s="1"/>
  <c r="I72" i="6"/>
  <c r="E21" i="2"/>
  <c r="G15" i="11"/>
  <c r="G14" i="11" s="1"/>
  <c r="G15" i="7"/>
  <c r="G14" i="7" s="1"/>
  <c r="I87" i="11"/>
  <c r="E85" i="2"/>
  <c r="I83" i="11"/>
  <c r="G37" i="8"/>
  <c r="G52" i="8"/>
  <c r="G53" i="8" s="1"/>
  <c r="G27" i="12"/>
  <c r="G26" i="7"/>
  <c r="G27" i="7" s="1"/>
  <c r="G50" i="7"/>
  <c r="I82" i="10"/>
  <c r="C43" i="4"/>
  <c r="D39" i="4"/>
  <c r="I137" i="4"/>
  <c r="E128" i="2"/>
  <c r="H128" i="2" s="1"/>
  <c r="I91" i="14"/>
  <c r="E132" i="2" s="1"/>
  <c r="H132" i="2" s="1"/>
  <c r="G57" i="9"/>
  <c r="G98" i="9"/>
  <c r="K98" i="9" s="1"/>
  <c r="H30" i="7"/>
  <c r="H55" i="7"/>
  <c r="H104" i="7" s="1"/>
  <c r="L104" i="7" s="1"/>
  <c r="H96" i="7"/>
  <c r="L96" i="7" s="1"/>
  <c r="H26" i="7"/>
  <c r="H24" i="7" s="1"/>
  <c r="I136" i="4"/>
  <c r="G15" i="12"/>
  <c r="G14" i="12" s="1"/>
  <c r="I72" i="11"/>
  <c r="H46" i="9"/>
  <c r="H102" i="9" s="1"/>
  <c r="L102" i="9" s="1"/>
  <c r="G27" i="8"/>
  <c r="E37" i="2"/>
  <c r="H37" i="2" s="1"/>
  <c r="I91" i="7"/>
  <c r="E41" i="2" s="1"/>
  <c r="H41" i="2" s="1"/>
  <c r="G52" i="11"/>
  <c r="G37" i="11"/>
  <c r="G15" i="14"/>
  <c r="G14" i="14"/>
  <c r="G26" i="9"/>
  <c r="G27" i="9" s="1"/>
  <c r="G50" i="9"/>
  <c r="I87" i="12"/>
  <c r="E98" i="2"/>
  <c r="E50" i="2"/>
  <c r="H50" i="2" s="1"/>
  <c r="I91" i="8"/>
  <c r="G15" i="9"/>
  <c r="G14" i="9"/>
  <c r="G56" i="13"/>
  <c r="G97" i="13"/>
  <c r="K97" i="13" s="1"/>
  <c r="E52" i="4"/>
  <c r="E37" i="4"/>
  <c r="F50" i="4"/>
  <c r="G30" i="11"/>
  <c r="G31" i="11" s="1"/>
  <c r="H29" i="11"/>
  <c r="G55" i="11"/>
  <c r="G96" i="11"/>
  <c r="K96" i="11" s="1"/>
  <c r="G46" i="14"/>
  <c r="G102" i="14" s="1"/>
  <c r="K102" i="14" s="1"/>
  <c r="E62" i="2"/>
  <c r="H62" i="2" s="1"/>
  <c r="I90" i="9"/>
  <c r="G26" i="14"/>
  <c r="G27" i="14" s="1"/>
  <c r="G50" i="14"/>
  <c r="H102" i="6"/>
  <c r="L102" i="6" s="1"/>
  <c r="G30" i="10"/>
  <c r="G31" i="10" s="1"/>
  <c r="H29" i="10"/>
  <c r="G55" i="10"/>
  <c r="G96" i="10"/>
  <c r="K96" i="10" s="1"/>
  <c r="I75" i="7"/>
  <c r="H77" i="7"/>
  <c r="H46" i="12"/>
  <c r="H102" i="12" s="1"/>
  <c r="L102" i="12" s="1"/>
  <c r="I131" i="4"/>
  <c r="I135" i="4"/>
  <c r="G56" i="9"/>
  <c r="G97" i="9"/>
  <c r="K97" i="9" s="1"/>
  <c r="G46" i="6"/>
  <c r="G101" i="6"/>
  <c r="K101" i="6" s="1"/>
  <c r="G45" i="4"/>
  <c r="G31" i="7"/>
  <c r="C100" i="4"/>
  <c r="D100" i="4" s="1"/>
  <c r="D41" i="4"/>
  <c r="C42" i="4"/>
  <c r="C47" i="4"/>
  <c r="F41" i="4"/>
  <c r="C48" i="4"/>
  <c r="I63" i="4"/>
  <c r="I75" i="4"/>
  <c r="I81" i="5"/>
  <c r="H76" i="4"/>
  <c r="D17" i="3" s="1"/>
  <c r="I76" i="5"/>
  <c r="I77" i="5" s="1"/>
  <c r="I123" i="4"/>
  <c r="I132" i="4" s="1"/>
  <c r="G30" i="6"/>
  <c r="G31" i="6"/>
  <c r="H29" i="6"/>
  <c r="G55" i="6"/>
  <c r="G96" i="6"/>
  <c r="K96" i="6" s="1"/>
  <c r="G52" i="10"/>
  <c r="G53" i="10" s="1"/>
  <c r="G37" i="10"/>
  <c r="G27" i="11"/>
  <c r="H57" i="9" l="1"/>
  <c r="H98" i="9"/>
  <c r="L98" i="9" s="1"/>
  <c r="H102" i="7"/>
  <c r="L102" i="7" s="1"/>
  <c r="H46" i="4"/>
  <c r="G57" i="10"/>
  <c r="G98" i="10"/>
  <c r="K98" i="10" s="1"/>
  <c r="G57" i="12"/>
  <c r="G98" i="12"/>
  <c r="K98" i="12" s="1"/>
  <c r="G57" i="14"/>
  <c r="G98" i="14"/>
  <c r="K98" i="14" s="1"/>
  <c r="G57" i="11"/>
  <c r="G98" i="11"/>
  <c r="K98" i="11" s="1"/>
  <c r="G57" i="6"/>
  <c r="G98" i="6"/>
  <c r="K98" i="6" s="1"/>
  <c r="G62" i="9"/>
  <c r="G81" i="9"/>
  <c r="G105" i="9"/>
  <c r="K105" i="9" s="1"/>
  <c r="G116" i="9"/>
  <c r="G118" i="9"/>
  <c r="G115" i="9"/>
  <c r="G117" i="9"/>
  <c r="G114" i="9"/>
  <c r="G58" i="9"/>
  <c r="G59" i="9" s="1"/>
  <c r="G113" i="9"/>
  <c r="G119" i="9"/>
  <c r="H56" i="7"/>
  <c r="H97" i="7"/>
  <c r="L97" i="7" s="1"/>
  <c r="G56" i="6"/>
  <c r="G97" i="6"/>
  <c r="K97" i="6" s="1"/>
  <c r="I77" i="7"/>
  <c r="I81" i="7"/>
  <c r="G52" i="14"/>
  <c r="G53" i="14" s="1"/>
  <c r="G37" i="14"/>
  <c r="F52" i="4"/>
  <c r="E53" i="4"/>
  <c r="E102" i="2"/>
  <c r="H102" i="2" s="1"/>
  <c r="I91" i="12"/>
  <c r="E106" i="2" s="1"/>
  <c r="H106" i="2" s="1"/>
  <c r="G52" i="6"/>
  <c r="G53" i="6" s="1"/>
  <c r="G37" i="6"/>
  <c r="H15" i="11"/>
  <c r="H14" i="11"/>
  <c r="H15" i="6"/>
  <c r="H14" i="6" s="1"/>
  <c r="H104" i="13"/>
  <c r="L104" i="13" s="1"/>
  <c r="H42" i="13"/>
  <c r="G104" i="8"/>
  <c r="K104" i="8" s="1"/>
  <c r="G42" i="8"/>
  <c r="E27" i="2"/>
  <c r="H27" i="2" s="1"/>
  <c r="I92" i="6"/>
  <c r="E29" i="2" s="1"/>
  <c r="H29" i="2" s="1"/>
  <c r="G62" i="7"/>
  <c r="G119" i="7"/>
  <c r="G117" i="7"/>
  <c r="G115" i="7"/>
  <c r="G113" i="7"/>
  <c r="G105" i="7"/>
  <c r="K105" i="7" s="1"/>
  <c r="G114" i="7"/>
  <c r="G118" i="7"/>
  <c r="G116" i="7"/>
  <c r="G58" i="7"/>
  <c r="G59" i="7" s="1"/>
  <c r="G15" i="4"/>
  <c r="G14" i="4" s="1"/>
  <c r="H30" i="12"/>
  <c r="H55" i="12"/>
  <c r="H26" i="12"/>
  <c r="H24" i="12" s="1"/>
  <c r="H96" i="12"/>
  <c r="L96" i="12" s="1"/>
  <c r="G42" i="7"/>
  <c r="G104" i="6"/>
  <c r="K104" i="6" s="1"/>
  <c r="G42" i="6"/>
  <c r="I86" i="5"/>
  <c r="E6" i="2"/>
  <c r="G102" i="6"/>
  <c r="K102" i="6" s="1"/>
  <c r="G56" i="10"/>
  <c r="G97" i="10"/>
  <c r="K97" i="10" s="1"/>
  <c r="G56" i="11"/>
  <c r="G97" i="11"/>
  <c r="K97" i="11" s="1"/>
  <c r="E54" i="2"/>
  <c r="H54" i="2" s="1"/>
  <c r="I92" i="8"/>
  <c r="E55" i="2" s="1"/>
  <c r="H55" i="2" s="1"/>
  <c r="G37" i="9"/>
  <c r="G52" i="9"/>
  <c r="G53" i="9" s="1"/>
  <c r="G63" i="9"/>
  <c r="G82" i="9" s="1"/>
  <c r="G128" i="9"/>
  <c r="G124" i="9"/>
  <c r="G106" i="9"/>
  <c r="K106" i="9" s="1"/>
  <c r="G127" i="9"/>
  <c r="G126" i="9"/>
  <c r="G123" i="9"/>
  <c r="G125" i="9"/>
  <c r="G122" i="9"/>
  <c r="G52" i="7"/>
  <c r="G53" i="7" s="1"/>
  <c r="G37" i="7"/>
  <c r="E89" i="2"/>
  <c r="H89" i="2" s="1"/>
  <c r="I91" i="11"/>
  <c r="H56" i="9"/>
  <c r="H97" i="9"/>
  <c r="L97" i="9" s="1"/>
  <c r="H14" i="7"/>
  <c r="H15" i="7"/>
  <c r="H15" i="10"/>
  <c r="H14" i="10"/>
  <c r="H15" i="13"/>
  <c r="H14" i="13" s="1"/>
  <c r="H56" i="13"/>
  <c r="H97" i="13"/>
  <c r="L97" i="13" s="1"/>
  <c r="H31" i="8"/>
  <c r="H30" i="8"/>
  <c r="H55" i="8"/>
  <c r="H96" i="8"/>
  <c r="L96" i="8" s="1"/>
  <c r="H26" i="8"/>
  <c r="H24" i="8" s="1"/>
  <c r="I77" i="12"/>
  <c r="I81" i="12"/>
  <c r="H21" i="5"/>
  <c r="G29" i="5"/>
  <c r="H100" i="4"/>
  <c r="L100" i="4" s="1"/>
  <c r="H43" i="4"/>
  <c r="G56" i="14"/>
  <c r="G97" i="14"/>
  <c r="K97" i="14" s="1"/>
  <c r="G37" i="13"/>
  <c r="G52" i="13"/>
  <c r="G53" i="13" s="1"/>
  <c r="I77" i="14"/>
  <c r="I81" i="14"/>
  <c r="E115" i="2"/>
  <c r="H115" i="2" s="1"/>
  <c r="I91" i="13"/>
  <c r="E119" i="2" s="1"/>
  <c r="H119" i="2" s="1"/>
  <c r="E16" i="3"/>
  <c r="H30" i="6"/>
  <c r="H31" i="6"/>
  <c r="H55" i="6"/>
  <c r="H96" i="6"/>
  <c r="L96" i="6" s="1"/>
  <c r="H26" i="6"/>
  <c r="H24" i="6" s="1"/>
  <c r="I76" i="4"/>
  <c r="E17" i="3" s="1"/>
  <c r="I82" i="5"/>
  <c r="E10" i="3"/>
  <c r="I81" i="4"/>
  <c r="G98" i="7"/>
  <c r="K98" i="7" s="1"/>
  <c r="G104" i="10"/>
  <c r="K104" i="10" s="1"/>
  <c r="G42" i="10"/>
  <c r="E66" i="2"/>
  <c r="H66" i="2" s="1"/>
  <c r="G104" i="11"/>
  <c r="K104" i="11" s="1"/>
  <c r="G42" i="11"/>
  <c r="G62" i="13"/>
  <c r="G118" i="13"/>
  <c r="G116" i="13"/>
  <c r="G105" i="13"/>
  <c r="K105" i="13" s="1"/>
  <c r="G119" i="13"/>
  <c r="G115" i="13"/>
  <c r="G58" i="13"/>
  <c r="G59" i="13" s="1"/>
  <c r="G117" i="13"/>
  <c r="G114" i="13"/>
  <c r="G113" i="13"/>
  <c r="G53" i="11"/>
  <c r="H31" i="7"/>
  <c r="G20" i="4"/>
  <c r="G26" i="4"/>
  <c r="H50" i="9"/>
  <c r="H20" i="9"/>
  <c r="I77" i="10"/>
  <c r="I81" i="10"/>
  <c r="H15" i="8"/>
  <c r="H14" i="8" s="1"/>
  <c r="H15" i="14"/>
  <c r="H14" i="14"/>
  <c r="H15" i="9"/>
  <c r="H14" i="9" s="1"/>
  <c r="H50" i="13"/>
  <c r="H20" i="13"/>
  <c r="H31" i="13"/>
  <c r="G57" i="8"/>
  <c r="G98" i="8"/>
  <c r="K98" i="8" s="1"/>
  <c r="C17" i="3"/>
  <c r="C24" i="3" s="1"/>
  <c r="G77" i="4"/>
  <c r="C96" i="4"/>
  <c r="D96" i="4" s="1"/>
  <c r="C21" i="4"/>
  <c r="C32" i="4"/>
  <c r="D29" i="4"/>
  <c r="C27" i="4"/>
  <c r="F29" i="4"/>
  <c r="C33" i="4"/>
  <c r="I77" i="13"/>
  <c r="I81" i="13"/>
  <c r="H101" i="7"/>
  <c r="L101" i="7" s="1"/>
  <c r="H45" i="4"/>
  <c r="G56" i="12"/>
  <c r="G97" i="12"/>
  <c r="K97" i="12" s="1"/>
  <c r="G104" i="14"/>
  <c r="K104" i="14" s="1"/>
  <c r="G42" i="14"/>
  <c r="G100" i="4"/>
  <c r="K100" i="4" s="1"/>
  <c r="H77" i="4"/>
  <c r="G101" i="4"/>
  <c r="K101" i="4" s="1"/>
  <c r="G47" i="4"/>
  <c r="H30" i="10"/>
  <c r="H55" i="10"/>
  <c r="H96" i="10"/>
  <c r="L96" i="10" s="1"/>
  <c r="H26" i="10"/>
  <c r="H24" i="10" s="1"/>
  <c r="H30" i="11"/>
  <c r="H31" i="11"/>
  <c r="H55" i="11"/>
  <c r="H96" i="11"/>
  <c r="L96" i="11" s="1"/>
  <c r="H26" i="11"/>
  <c r="H24" i="11" s="1"/>
  <c r="H50" i="7"/>
  <c r="H20" i="7"/>
  <c r="I87" i="10"/>
  <c r="E72" i="2"/>
  <c r="I88" i="11"/>
  <c r="E90" i="2" s="1"/>
  <c r="H90" i="2" s="1"/>
  <c r="H156" i="2" s="1"/>
  <c r="E86" i="2"/>
  <c r="G37" i="5"/>
  <c r="G50" i="4"/>
  <c r="G52" i="5"/>
  <c r="E63" i="2"/>
  <c r="H63" i="2" s="1"/>
  <c r="I91" i="9"/>
  <c r="E67" i="2" s="1"/>
  <c r="H67" i="2" s="1"/>
  <c r="H104" i="9"/>
  <c r="L104" i="9" s="1"/>
  <c r="H42" i="9"/>
  <c r="F6" i="10"/>
  <c r="F6" i="7"/>
  <c r="F6" i="13"/>
  <c r="F6" i="9"/>
  <c r="F6" i="8"/>
  <c r="F6" i="5"/>
  <c r="F6" i="14"/>
  <c r="F6" i="12"/>
  <c r="F6" i="6"/>
  <c r="F6" i="11"/>
  <c r="H15" i="12"/>
  <c r="H14" i="12"/>
  <c r="H8" i="4"/>
  <c r="H13" i="5"/>
  <c r="G56" i="8"/>
  <c r="G97" i="8"/>
  <c r="K97" i="8" s="1"/>
  <c r="H42" i="7"/>
  <c r="G104" i="12"/>
  <c r="K104" i="12" s="1"/>
  <c r="G42" i="12"/>
  <c r="H30" i="14"/>
  <c r="H31" i="14" s="1"/>
  <c r="H55" i="14"/>
  <c r="H96" i="14"/>
  <c r="L96" i="14" s="1"/>
  <c r="H26" i="14"/>
  <c r="H24" i="14" s="1"/>
  <c r="G46" i="7"/>
  <c r="G102" i="7" s="1"/>
  <c r="K102" i="7" s="1"/>
  <c r="G63" i="13"/>
  <c r="G82" i="13" s="1"/>
  <c r="G106" i="13"/>
  <c r="K106" i="13" s="1"/>
  <c r="G128" i="13"/>
  <c r="G126" i="13"/>
  <c r="G124" i="13"/>
  <c r="G122" i="13"/>
  <c r="G127" i="13"/>
  <c r="G125" i="13"/>
  <c r="G123" i="13"/>
  <c r="D24" i="3"/>
  <c r="H57" i="14" l="1"/>
  <c r="H98" i="14"/>
  <c r="L98" i="14" s="1"/>
  <c r="G87" i="9"/>
  <c r="C59" i="2"/>
  <c r="G87" i="13"/>
  <c r="C111" i="2"/>
  <c r="H15" i="5"/>
  <c r="H14" i="5" s="1"/>
  <c r="E76" i="2"/>
  <c r="H76" i="2" s="1"/>
  <c r="I91" i="10"/>
  <c r="E80" i="2" s="1"/>
  <c r="H80" i="2" s="1"/>
  <c r="H20" i="10"/>
  <c r="H50" i="10"/>
  <c r="H56" i="10"/>
  <c r="H97" i="10"/>
  <c r="L97" i="10" s="1"/>
  <c r="I83" i="13"/>
  <c r="I86" i="13"/>
  <c r="E110" i="2"/>
  <c r="G63" i="8"/>
  <c r="G82" i="8"/>
  <c r="G106" i="8"/>
  <c r="K106" i="8" s="1"/>
  <c r="G128" i="8"/>
  <c r="G124" i="8"/>
  <c r="G127" i="8"/>
  <c r="G123" i="8"/>
  <c r="G126" i="8"/>
  <c r="G122" i="8"/>
  <c r="G125" i="8"/>
  <c r="H57" i="7"/>
  <c r="H98" i="7"/>
  <c r="L98" i="7" s="1"/>
  <c r="G135" i="13"/>
  <c r="G57" i="7"/>
  <c r="I87" i="5"/>
  <c r="E7" i="2"/>
  <c r="H104" i="6"/>
  <c r="L104" i="6" s="1"/>
  <c r="H42" i="6"/>
  <c r="I83" i="14"/>
  <c r="I86" i="14"/>
  <c r="E123" i="2"/>
  <c r="H56" i="8"/>
  <c r="H97" i="8"/>
  <c r="L97" i="8" s="1"/>
  <c r="E93" i="2"/>
  <c r="H93" i="2" s="1"/>
  <c r="I92" i="11"/>
  <c r="E94" i="2" s="1"/>
  <c r="H94" i="2" s="1"/>
  <c r="H104" i="12"/>
  <c r="L104" i="12" s="1"/>
  <c r="H42" i="12"/>
  <c r="I83" i="7"/>
  <c r="I86" i="7"/>
  <c r="E32" i="2"/>
  <c r="G136" i="9"/>
  <c r="G63" i="11"/>
  <c r="G82" i="11" s="1"/>
  <c r="G127" i="11"/>
  <c r="G125" i="11"/>
  <c r="G106" i="11"/>
  <c r="K106" i="11" s="1"/>
  <c r="G128" i="11"/>
  <c r="G126" i="11"/>
  <c r="G124" i="11"/>
  <c r="G123" i="11"/>
  <c r="G122" i="11"/>
  <c r="G63" i="12"/>
  <c r="G82" i="12" s="1"/>
  <c r="G128" i="12"/>
  <c r="G126" i="12"/>
  <c r="G124" i="12"/>
  <c r="G122" i="12"/>
  <c r="G106" i="12"/>
  <c r="K106" i="12" s="1"/>
  <c r="G127" i="12"/>
  <c r="G125" i="12"/>
  <c r="G123" i="12"/>
  <c r="H20" i="14"/>
  <c r="H50" i="14"/>
  <c r="H56" i="14"/>
  <c r="H97" i="14"/>
  <c r="L97" i="14" s="1"/>
  <c r="H9" i="4"/>
  <c r="H13" i="4"/>
  <c r="H104" i="11"/>
  <c r="L104" i="11" s="1"/>
  <c r="H42" i="11"/>
  <c r="G62" i="12"/>
  <c r="G81" i="12"/>
  <c r="G118" i="12"/>
  <c r="G116" i="12"/>
  <c r="G114" i="12"/>
  <c r="G132" i="12" s="1"/>
  <c r="G105" i="12"/>
  <c r="K105" i="12" s="1"/>
  <c r="G115" i="12"/>
  <c r="G133" i="12" s="1"/>
  <c r="G117" i="12"/>
  <c r="G113" i="12"/>
  <c r="G131" i="12" s="1"/>
  <c r="G58" i="12"/>
  <c r="G59" i="12" s="1"/>
  <c r="G119" i="12"/>
  <c r="G137" i="12" s="1"/>
  <c r="H57" i="13"/>
  <c r="H98" i="13"/>
  <c r="L98" i="13" s="1"/>
  <c r="H37" i="9"/>
  <c r="H52" i="9"/>
  <c r="H53" i="9" s="1"/>
  <c r="G134" i="13"/>
  <c r="I86" i="4"/>
  <c r="E136" i="2"/>
  <c r="I70" i="4"/>
  <c r="H57" i="6"/>
  <c r="H98" i="6"/>
  <c r="L98" i="6" s="1"/>
  <c r="E23" i="3"/>
  <c r="G62" i="14"/>
  <c r="G81" i="14"/>
  <c r="G119" i="14"/>
  <c r="G117" i="14"/>
  <c r="G115" i="14"/>
  <c r="G113" i="14"/>
  <c r="G105" i="14"/>
  <c r="K105" i="14" s="1"/>
  <c r="G118" i="14"/>
  <c r="G116" i="14"/>
  <c r="G58" i="14"/>
  <c r="G59" i="14" s="1"/>
  <c r="G114" i="14"/>
  <c r="G96" i="5"/>
  <c r="K96" i="5" s="1"/>
  <c r="G55" i="5"/>
  <c r="H29" i="5"/>
  <c r="G30" i="5"/>
  <c r="G29" i="4"/>
  <c r="H50" i="8"/>
  <c r="H20" i="8"/>
  <c r="H57" i="8"/>
  <c r="H98" i="8"/>
  <c r="L98" i="8" s="1"/>
  <c r="G81" i="10"/>
  <c r="G62" i="10"/>
  <c r="G117" i="10"/>
  <c r="G113" i="10"/>
  <c r="G105" i="10"/>
  <c r="K105" i="10" s="1"/>
  <c r="G119" i="10"/>
  <c r="G116" i="10"/>
  <c r="G58" i="10"/>
  <c r="G59" i="10" s="1"/>
  <c r="G114" i="10"/>
  <c r="G118" i="10"/>
  <c r="G115" i="10"/>
  <c r="E10" i="2"/>
  <c r="H10" i="2" s="1"/>
  <c r="I90" i="5"/>
  <c r="H56" i="12"/>
  <c r="H97" i="12"/>
  <c r="L97" i="12" s="1"/>
  <c r="G27" i="5"/>
  <c r="H62" i="7"/>
  <c r="H81" i="7"/>
  <c r="H119" i="7"/>
  <c r="H117" i="7"/>
  <c r="H115" i="7"/>
  <c r="H113" i="7"/>
  <c r="H105" i="7"/>
  <c r="L105" i="7" s="1"/>
  <c r="H116" i="7"/>
  <c r="H118" i="7"/>
  <c r="H58" i="7"/>
  <c r="H59" i="7" s="1"/>
  <c r="H114" i="7"/>
  <c r="G132" i="9"/>
  <c r="G134" i="9"/>
  <c r="G62" i="8"/>
  <c r="G119" i="8"/>
  <c r="G137" i="8" s="1"/>
  <c r="G118" i="8"/>
  <c r="G136" i="8" s="1"/>
  <c r="G117" i="8"/>
  <c r="G135" i="8" s="1"/>
  <c r="G116" i="8"/>
  <c r="G134" i="8" s="1"/>
  <c r="G115" i="8"/>
  <c r="G133" i="8" s="1"/>
  <c r="G114" i="8"/>
  <c r="G132" i="8" s="1"/>
  <c r="G113" i="8"/>
  <c r="G131" i="8" s="1"/>
  <c r="G58" i="8"/>
  <c r="G59" i="8" s="1"/>
  <c r="G105" i="8"/>
  <c r="K105" i="8" s="1"/>
  <c r="G53" i="5"/>
  <c r="H52" i="7"/>
  <c r="H53" i="7" s="1"/>
  <c r="H37" i="7"/>
  <c r="H57" i="11"/>
  <c r="H98" i="11"/>
  <c r="L98" i="11" s="1"/>
  <c r="H104" i="10"/>
  <c r="L104" i="10" s="1"/>
  <c r="H42" i="10"/>
  <c r="H47" i="4"/>
  <c r="H101" i="4"/>
  <c r="L101" i="4" s="1"/>
  <c r="I83" i="10"/>
  <c r="E71" i="2"/>
  <c r="I86" i="10"/>
  <c r="G27" i="4"/>
  <c r="G131" i="13"/>
  <c r="G133" i="13"/>
  <c r="G136" i="13"/>
  <c r="I77" i="4"/>
  <c r="H50" i="6"/>
  <c r="H20" i="6"/>
  <c r="H56" i="6"/>
  <c r="H97" i="6"/>
  <c r="L97" i="6" s="1"/>
  <c r="G46" i="4"/>
  <c r="I83" i="5"/>
  <c r="H31" i="12"/>
  <c r="G137" i="9"/>
  <c r="G135" i="9"/>
  <c r="G63" i="6"/>
  <c r="G82" i="6" s="1"/>
  <c r="G106" i="6"/>
  <c r="K106" i="6" s="1"/>
  <c r="G128" i="6"/>
  <c r="G126" i="6"/>
  <c r="G123" i="6"/>
  <c r="G127" i="6"/>
  <c r="G125" i="6"/>
  <c r="G124" i="6"/>
  <c r="G122" i="6"/>
  <c r="G63" i="14"/>
  <c r="G82" i="14"/>
  <c r="G106" i="14"/>
  <c r="K106" i="14" s="1"/>
  <c r="G127" i="14"/>
  <c r="G125" i="14"/>
  <c r="G123" i="14"/>
  <c r="G128" i="14"/>
  <c r="G126" i="14"/>
  <c r="G124" i="14"/>
  <c r="G122" i="14"/>
  <c r="G63" i="10"/>
  <c r="G82" i="10" s="1"/>
  <c r="G127" i="10"/>
  <c r="G123" i="10"/>
  <c r="G124" i="10"/>
  <c r="G128" i="10"/>
  <c r="G125" i="10"/>
  <c r="G122" i="10"/>
  <c r="G126" i="10"/>
  <c r="G106" i="10"/>
  <c r="K106" i="10" s="1"/>
  <c r="H63" i="9"/>
  <c r="H82" i="9"/>
  <c r="H106" i="9"/>
  <c r="L106" i="9" s="1"/>
  <c r="H127" i="9"/>
  <c r="H123" i="9"/>
  <c r="H126" i="9"/>
  <c r="H128" i="9"/>
  <c r="H125" i="9"/>
  <c r="H122" i="9"/>
  <c r="H124" i="9"/>
  <c r="H104" i="14"/>
  <c r="L104" i="14" s="1"/>
  <c r="H42" i="14"/>
  <c r="G52" i="4"/>
  <c r="G37" i="4"/>
  <c r="H50" i="11"/>
  <c r="H20" i="11"/>
  <c r="H56" i="11"/>
  <c r="H97" i="11"/>
  <c r="L97" i="11" s="1"/>
  <c r="H31" i="10"/>
  <c r="H52" i="13"/>
  <c r="H53" i="13" s="1"/>
  <c r="H37" i="13"/>
  <c r="G132" i="13"/>
  <c r="G137" i="13"/>
  <c r="G81" i="13"/>
  <c r="I92" i="9"/>
  <c r="E68" i="2" s="1"/>
  <c r="H68" i="2" s="1"/>
  <c r="E24" i="3"/>
  <c r="E11" i="3"/>
  <c r="E12" i="3" s="1"/>
  <c r="I83" i="12"/>
  <c r="I86" i="12"/>
  <c r="E97" i="2"/>
  <c r="H104" i="8"/>
  <c r="L104" i="8" s="1"/>
  <c r="H42" i="8"/>
  <c r="H62" i="13"/>
  <c r="H105" i="13"/>
  <c r="L105" i="13" s="1"/>
  <c r="H118" i="13"/>
  <c r="H116" i="13"/>
  <c r="H119" i="13"/>
  <c r="H117" i="13"/>
  <c r="H115" i="13"/>
  <c r="H114" i="13"/>
  <c r="H113" i="13"/>
  <c r="H58" i="13"/>
  <c r="H59" i="13" s="1"/>
  <c r="H62" i="9"/>
  <c r="H81" i="9"/>
  <c r="H119" i="9"/>
  <c r="H137" i="9" s="1"/>
  <c r="H115" i="9"/>
  <c r="H116" i="9"/>
  <c r="H134" i="9" s="1"/>
  <c r="H113" i="9"/>
  <c r="H131" i="9" s="1"/>
  <c r="H58" i="9"/>
  <c r="H59" i="9" s="1"/>
  <c r="H118" i="9"/>
  <c r="H136" i="9" s="1"/>
  <c r="H105" i="9"/>
  <c r="L105" i="9" s="1"/>
  <c r="H117" i="9"/>
  <c r="H135" i="9" s="1"/>
  <c r="H114" i="9"/>
  <c r="H132" i="9" s="1"/>
  <c r="G62" i="11"/>
  <c r="G105" i="11"/>
  <c r="K105" i="11" s="1"/>
  <c r="G119" i="11"/>
  <c r="G137" i="11" s="1"/>
  <c r="G117" i="11"/>
  <c r="G135" i="11" s="1"/>
  <c r="G113" i="11"/>
  <c r="G131" i="11" s="1"/>
  <c r="G114" i="11"/>
  <c r="G132" i="11" s="1"/>
  <c r="G118" i="11"/>
  <c r="G136" i="11" s="1"/>
  <c r="G116" i="11"/>
  <c r="G134" i="11" s="1"/>
  <c r="G115" i="11"/>
  <c r="G133" i="11" s="1"/>
  <c r="G58" i="11"/>
  <c r="G59" i="11" s="1"/>
  <c r="H20" i="12"/>
  <c r="H50" i="12"/>
  <c r="E18" i="3"/>
  <c r="E19" i="3" s="1"/>
  <c r="G81" i="7"/>
  <c r="G62" i="6"/>
  <c r="G81" i="6"/>
  <c r="G118" i="6"/>
  <c r="G136" i="6" s="1"/>
  <c r="G116" i="6"/>
  <c r="G134" i="6" s="1"/>
  <c r="G105" i="6"/>
  <c r="K105" i="6" s="1"/>
  <c r="G119" i="6"/>
  <c r="G137" i="6" s="1"/>
  <c r="G117" i="6"/>
  <c r="G135" i="6" s="1"/>
  <c r="G58" i="6"/>
  <c r="G59" i="6" s="1"/>
  <c r="G115" i="6"/>
  <c r="G133" i="6" s="1"/>
  <c r="G114" i="6"/>
  <c r="G132" i="6" s="1"/>
  <c r="G113" i="6"/>
  <c r="G131" i="6" s="1"/>
  <c r="G131" i="9"/>
  <c r="G133" i="9"/>
  <c r="G86" i="9"/>
  <c r="G83" i="9"/>
  <c r="C58" i="2"/>
  <c r="H48" i="4"/>
  <c r="H102" i="4"/>
  <c r="L102" i="4" s="1"/>
  <c r="I82" i="4"/>
  <c r="I83" i="4" s="1"/>
  <c r="G87" i="10" l="1"/>
  <c r="C72" i="2"/>
  <c r="G87" i="11"/>
  <c r="C85" i="2"/>
  <c r="I88" i="4"/>
  <c r="E138" i="2"/>
  <c r="I72" i="4"/>
  <c r="G87" i="6"/>
  <c r="C20" i="2"/>
  <c r="G87" i="12"/>
  <c r="C98" i="2"/>
  <c r="G86" i="7"/>
  <c r="C32" i="2"/>
  <c r="H52" i="12"/>
  <c r="H53" i="12" s="1"/>
  <c r="H37" i="12"/>
  <c r="H133" i="9"/>
  <c r="H57" i="10"/>
  <c r="H98" i="10"/>
  <c r="L98" i="10" s="1"/>
  <c r="H37" i="11"/>
  <c r="H52" i="11"/>
  <c r="H53" i="11" s="1"/>
  <c r="H57" i="12"/>
  <c r="H98" i="12"/>
  <c r="L98" i="12" s="1"/>
  <c r="H62" i="6"/>
  <c r="H81" i="6"/>
  <c r="H105" i="6"/>
  <c r="L105" i="6" s="1"/>
  <c r="H118" i="6"/>
  <c r="H116" i="6"/>
  <c r="H119" i="6"/>
  <c r="H117" i="6"/>
  <c r="H115" i="6"/>
  <c r="H114" i="6"/>
  <c r="H113" i="6"/>
  <c r="H58" i="6"/>
  <c r="H59" i="6" s="1"/>
  <c r="E75" i="2"/>
  <c r="H75" i="2" s="1"/>
  <c r="I90" i="10"/>
  <c r="H63" i="11"/>
  <c r="H82" i="11" s="1"/>
  <c r="H106" i="11"/>
  <c r="L106" i="11" s="1"/>
  <c r="H127" i="11"/>
  <c r="H125" i="11"/>
  <c r="H128" i="11"/>
  <c r="H123" i="11"/>
  <c r="H122" i="11"/>
  <c r="H126" i="11"/>
  <c r="H124" i="11"/>
  <c r="H62" i="12"/>
  <c r="H81" i="12" s="1"/>
  <c r="H118" i="12"/>
  <c r="H116" i="12"/>
  <c r="H114" i="12"/>
  <c r="H105" i="12"/>
  <c r="L105" i="12" s="1"/>
  <c r="H119" i="12"/>
  <c r="H113" i="12"/>
  <c r="H58" i="12"/>
  <c r="H59" i="12" s="1"/>
  <c r="H117" i="12"/>
  <c r="H115" i="12"/>
  <c r="G136" i="10"/>
  <c r="G137" i="10"/>
  <c r="G56" i="5"/>
  <c r="G97" i="5"/>
  <c r="K97" i="5" s="1"/>
  <c r="G30" i="4"/>
  <c r="G97" i="4" s="1"/>
  <c r="K97" i="4" s="1"/>
  <c r="G132" i="14"/>
  <c r="G137" i="14"/>
  <c r="G136" i="12"/>
  <c r="H62" i="14"/>
  <c r="H81" i="14" s="1"/>
  <c r="H105" i="14"/>
  <c r="L105" i="14" s="1"/>
  <c r="H119" i="14"/>
  <c r="H117" i="14"/>
  <c r="H115" i="14"/>
  <c r="H113" i="14"/>
  <c r="H118" i="14"/>
  <c r="H116" i="14"/>
  <c r="H114" i="14"/>
  <c r="H58" i="14"/>
  <c r="H59" i="14" s="1"/>
  <c r="H62" i="8"/>
  <c r="H81" i="8"/>
  <c r="H105" i="8"/>
  <c r="L105" i="8" s="1"/>
  <c r="H119" i="8"/>
  <c r="H118" i="8"/>
  <c r="H117" i="8"/>
  <c r="H116" i="8"/>
  <c r="H115" i="8"/>
  <c r="H114" i="8"/>
  <c r="H113" i="8"/>
  <c r="H58" i="8"/>
  <c r="H59" i="8" s="1"/>
  <c r="G63" i="7"/>
  <c r="G82" i="7"/>
  <c r="G127" i="7"/>
  <c r="G136" i="7" s="1"/>
  <c r="G125" i="7"/>
  <c r="G134" i="7" s="1"/>
  <c r="G123" i="7"/>
  <c r="G132" i="7" s="1"/>
  <c r="G106" i="7"/>
  <c r="K106" i="7" s="1"/>
  <c r="G128" i="7"/>
  <c r="G137" i="7" s="1"/>
  <c r="G122" i="7"/>
  <c r="G131" i="7" s="1"/>
  <c r="G126" i="7"/>
  <c r="G135" i="7" s="1"/>
  <c r="G124" i="7"/>
  <c r="G133" i="7" s="1"/>
  <c r="H63" i="7"/>
  <c r="H82" i="7" s="1"/>
  <c r="H127" i="7"/>
  <c r="H125" i="7"/>
  <c r="H134" i="7" s="1"/>
  <c r="H123" i="7"/>
  <c r="H132" i="7" s="1"/>
  <c r="H106" i="7"/>
  <c r="L106" i="7" s="1"/>
  <c r="H128" i="7"/>
  <c r="H126" i="7"/>
  <c r="H135" i="7" s="1"/>
  <c r="H124" i="7"/>
  <c r="H122" i="7"/>
  <c r="E114" i="2"/>
  <c r="H114" i="2" s="1"/>
  <c r="I90" i="13"/>
  <c r="H37" i="10"/>
  <c r="H52" i="10"/>
  <c r="H53" i="10" s="1"/>
  <c r="H87" i="9"/>
  <c r="D59" i="2"/>
  <c r="G87" i="14"/>
  <c r="C124" i="2"/>
  <c r="E8" i="2"/>
  <c r="I88" i="5"/>
  <c r="E12" i="2" s="1"/>
  <c r="H12" i="2" s="1"/>
  <c r="H150" i="2" s="1"/>
  <c r="I72" i="5"/>
  <c r="H137" i="7"/>
  <c r="E14" i="2"/>
  <c r="H14" i="2" s="1"/>
  <c r="G132" i="10"/>
  <c r="G83" i="10"/>
  <c r="G72" i="10" s="1"/>
  <c r="G86" i="10"/>
  <c r="C71" i="2"/>
  <c r="H37" i="8"/>
  <c r="H52" i="8"/>
  <c r="H53" i="8" s="1"/>
  <c r="H30" i="5"/>
  <c r="H31" i="5"/>
  <c r="H29" i="4"/>
  <c r="H96" i="5"/>
  <c r="L96" i="5" s="1"/>
  <c r="H55" i="5"/>
  <c r="H26" i="5"/>
  <c r="H24" i="5" s="1"/>
  <c r="G131" i="14"/>
  <c r="G86" i="14"/>
  <c r="G83" i="14"/>
  <c r="C123" i="2"/>
  <c r="M86" i="4"/>
  <c r="I90" i="4"/>
  <c r="E140" i="2"/>
  <c r="H140" i="2" s="1"/>
  <c r="G86" i="12"/>
  <c r="G83" i="12"/>
  <c r="C97" i="2"/>
  <c r="H15" i="4"/>
  <c r="H14" i="4"/>
  <c r="H52" i="14"/>
  <c r="H53" i="14" s="1"/>
  <c r="H37" i="14"/>
  <c r="G87" i="8"/>
  <c r="C46" i="2"/>
  <c r="I88" i="13"/>
  <c r="E116" i="2" s="1"/>
  <c r="H116" i="2" s="1"/>
  <c r="H158" i="2" s="1"/>
  <c r="E112" i="2"/>
  <c r="I72" i="13"/>
  <c r="C63" i="2"/>
  <c r="F63" i="2" s="1"/>
  <c r="G91" i="9"/>
  <c r="C67" i="2" s="1"/>
  <c r="F67" i="2" s="1"/>
  <c r="G88" i="9"/>
  <c r="C64" i="2" s="1"/>
  <c r="F64" i="2" s="1"/>
  <c r="F154" i="2" s="1"/>
  <c r="C60" i="2"/>
  <c r="H83" i="9"/>
  <c r="H86" i="9"/>
  <c r="D58" i="2"/>
  <c r="H81" i="13"/>
  <c r="E101" i="2"/>
  <c r="H101" i="2" s="1"/>
  <c r="I90" i="12"/>
  <c r="H62" i="11"/>
  <c r="H81" i="11" s="1"/>
  <c r="H119" i="11"/>
  <c r="H137" i="11" s="1"/>
  <c r="H117" i="11"/>
  <c r="H135" i="11" s="1"/>
  <c r="H115" i="11"/>
  <c r="H133" i="11" s="1"/>
  <c r="H105" i="11"/>
  <c r="L105" i="11" s="1"/>
  <c r="H118" i="11"/>
  <c r="H136" i="11" s="1"/>
  <c r="H114" i="11"/>
  <c r="H132" i="11" s="1"/>
  <c r="H116" i="11"/>
  <c r="H134" i="11" s="1"/>
  <c r="H58" i="11"/>
  <c r="H59" i="11" s="1"/>
  <c r="H113" i="11"/>
  <c r="H131" i="11" s="1"/>
  <c r="G48" i="4"/>
  <c r="G102" i="4"/>
  <c r="K102" i="4" s="1"/>
  <c r="H37" i="6"/>
  <c r="H52" i="6"/>
  <c r="H53" i="6" s="1"/>
  <c r="I88" i="10"/>
  <c r="E77" i="2" s="1"/>
  <c r="H77" i="2" s="1"/>
  <c r="H155" i="2" s="1"/>
  <c r="E73" i="2"/>
  <c r="I72" i="10"/>
  <c r="G81" i="8"/>
  <c r="H131" i="7"/>
  <c r="H86" i="7"/>
  <c r="D32" i="2"/>
  <c r="G131" i="10"/>
  <c r="G96" i="4"/>
  <c r="K96" i="4" s="1"/>
  <c r="G21" i="4"/>
  <c r="G55" i="4"/>
  <c r="G42" i="5"/>
  <c r="G104" i="5"/>
  <c r="K104" i="5" s="1"/>
  <c r="G134" i="14"/>
  <c r="G133" i="14"/>
  <c r="G72" i="14"/>
  <c r="H63" i="6"/>
  <c r="H82" i="6" s="1"/>
  <c r="H128" i="6"/>
  <c r="H126" i="6"/>
  <c r="H106" i="6"/>
  <c r="L106" i="6" s="1"/>
  <c r="H124" i="6"/>
  <c r="H122" i="6"/>
  <c r="H127" i="6"/>
  <c r="H125" i="6"/>
  <c r="H123" i="6"/>
  <c r="G72" i="12"/>
  <c r="E36" i="2"/>
  <c r="H36" i="2" s="1"/>
  <c r="I90" i="7"/>
  <c r="E127" i="2"/>
  <c r="H127" i="2" s="1"/>
  <c r="I90" i="14"/>
  <c r="I87" i="4"/>
  <c r="E137" i="2"/>
  <c r="I71" i="4"/>
  <c r="C62" i="2"/>
  <c r="F62" i="2" s="1"/>
  <c r="G90" i="9"/>
  <c r="G86" i="6"/>
  <c r="G83" i="6"/>
  <c r="C19" i="2"/>
  <c r="G72" i="6"/>
  <c r="G81" i="11"/>
  <c r="H136" i="13"/>
  <c r="I88" i="12"/>
  <c r="E103" i="2" s="1"/>
  <c r="H103" i="2" s="1"/>
  <c r="H157" i="2" s="1"/>
  <c r="E99" i="2"/>
  <c r="I72" i="12"/>
  <c r="G86" i="13"/>
  <c r="G83" i="13"/>
  <c r="C110" i="2"/>
  <c r="H136" i="7"/>
  <c r="H133" i="7"/>
  <c r="G133" i="10"/>
  <c r="G134" i="10"/>
  <c r="G135" i="10"/>
  <c r="H63" i="8"/>
  <c r="H82" i="8" s="1"/>
  <c r="H128" i="8"/>
  <c r="H127" i="8"/>
  <c r="H126" i="8"/>
  <c r="H125" i="8"/>
  <c r="H124" i="8"/>
  <c r="H123" i="8"/>
  <c r="H122" i="8"/>
  <c r="H106" i="8"/>
  <c r="L106" i="8" s="1"/>
  <c r="G31" i="5"/>
  <c r="G136" i="14"/>
  <c r="G135" i="14"/>
  <c r="E25" i="3"/>
  <c r="E26" i="3" s="1"/>
  <c r="H63" i="13"/>
  <c r="H128" i="13"/>
  <c r="H137" i="13" s="1"/>
  <c r="H126" i="13"/>
  <c r="H135" i="13" s="1"/>
  <c r="H106" i="13"/>
  <c r="L106" i="13" s="1"/>
  <c r="H124" i="13"/>
  <c r="H133" i="13" s="1"/>
  <c r="H127" i="13"/>
  <c r="H125" i="13"/>
  <c r="H134" i="13" s="1"/>
  <c r="H122" i="13"/>
  <c r="H131" i="13" s="1"/>
  <c r="H123" i="13"/>
  <c r="H132" i="13" s="1"/>
  <c r="G135" i="12"/>
  <c r="G134" i="12"/>
  <c r="G72" i="9"/>
  <c r="I88" i="7"/>
  <c r="E38" i="2" s="1"/>
  <c r="H38" i="2" s="1"/>
  <c r="H152" i="2" s="1"/>
  <c r="I72" i="7"/>
  <c r="E34" i="2"/>
  <c r="I88" i="14"/>
  <c r="E129" i="2" s="1"/>
  <c r="H129" i="2" s="1"/>
  <c r="H159" i="2" s="1"/>
  <c r="E125" i="2"/>
  <c r="I72" i="14"/>
  <c r="E11" i="2"/>
  <c r="H11" i="2" s="1"/>
  <c r="I91" i="5"/>
  <c r="E15" i="2" s="1"/>
  <c r="H15" i="2" s="1"/>
  <c r="H62" i="10"/>
  <c r="H118" i="10"/>
  <c r="H114" i="10"/>
  <c r="H58" i="10"/>
  <c r="H59" i="10" s="1"/>
  <c r="H115" i="10"/>
  <c r="H119" i="10"/>
  <c r="H116" i="10"/>
  <c r="H113" i="10"/>
  <c r="H105" i="10"/>
  <c r="L105" i="10" s="1"/>
  <c r="H117" i="10"/>
  <c r="C115" i="2"/>
  <c r="F115" i="2" s="1"/>
  <c r="G91" i="13"/>
  <c r="C119" i="2" s="1"/>
  <c r="F119" i="2" s="1"/>
  <c r="H63" i="14"/>
  <c r="H82" i="14" s="1"/>
  <c r="H127" i="14"/>
  <c r="H125" i="14"/>
  <c r="H123" i="14"/>
  <c r="H106" i="14"/>
  <c r="L106" i="14" s="1"/>
  <c r="H124" i="14"/>
  <c r="H128" i="14"/>
  <c r="H122" i="14"/>
  <c r="H126" i="14"/>
  <c r="H87" i="11" l="1"/>
  <c r="D85" i="2"/>
  <c r="H87" i="8"/>
  <c r="D46" i="2"/>
  <c r="H87" i="6"/>
  <c r="D20" i="2"/>
  <c r="H83" i="14"/>
  <c r="H86" i="14"/>
  <c r="D123" i="2"/>
  <c r="H87" i="14"/>
  <c r="D124" i="2"/>
  <c r="H87" i="7"/>
  <c r="D33" i="2"/>
  <c r="H83" i="7"/>
  <c r="H83" i="11"/>
  <c r="H86" i="11"/>
  <c r="D84" i="2"/>
  <c r="H86" i="12"/>
  <c r="D97" i="2"/>
  <c r="H82" i="13"/>
  <c r="G88" i="13"/>
  <c r="C116" i="2" s="1"/>
  <c r="F116" i="2" s="1"/>
  <c r="F158" i="2" s="1"/>
  <c r="C112" i="2"/>
  <c r="G72" i="13"/>
  <c r="G86" i="11"/>
  <c r="G83" i="11"/>
  <c r="C84" i="2"/>
  <c r="C23" i="2"/>
  <c r="F23" i="2" s="1"/>
  <c r="G90" i="6"/>
  <c r="E40" i="2"/>
  <c r="H40" i="2" s="1"/>
  <c r="I92" i="7"/>
  <c r="E42" i="2" s="1"/>
  <c r="H42" i="2" s="1"/>
  <c r="D36" i="2"/>
  <c r="G36" i="2" s="1"/>
  <c r="H90" i="7"/>
  <c r="H83" i="13"/>
  <c r="H86" i="13"/>
  <c r="D110" i="2"/>
  <c r="D62" i="2"/>
  <c r="G62" i="2" s="1"/>
  <c r="H90" i="9"/>
  <c r="G88" i="12"/>
  <c r="C103" i="2" s="1"/>
  <c r="F103" i="2" s="1"/>
  <c r="F157" i="2" s="1"/>
  <c r="C99" i="2"/>
  <c r="H21" i="4"/>
  <c r="H96" i="4"/>
  <c r="L96" i="4" s="1"/>
  <c r="D63" i="2"/>
  <c r="G63" i="2" s="1"/>
  <c r="H91" i="9"/>
  <c r="D67" i="2" s="1"/>
  <c r="G67" i="2" s="1"/>
  <c r="H134" i="8"/>
  <c r="H132" i="14"/>
  <c r="H133" i="14"/>
  <c r="H135" i="12"/>
  <c r="H135" i="6"/>
  <c r="H63" i="12"/>
  <c r="H82" i="12"/>
  <c r="H83" i="12" s="1"/>
  <c r="H128" i="12"/>
  <c r="H126" i="12"/>
  <c r="H124" i="12"/>
  <c r="H122" i="12"/>
  <c r="H106" i="12"/>
  <c r="L106" i="12" s="1"/>
  <c r="H127" i="12"/>
  <c r="H125" i="12"/>
  <c r="H123" i="12"/>
  <c r="H63" i="10"/>
  <c r="H128" i="10"/>
  <c r="H124" i="10"/>
  <c r="H106" i="10"/>
  <c r="L106" i="10" s="1"/>
  <c r="H126" i="10"/>
  <c r="H123" i="10"/>
  <c r="H127" i="10"/>
  <c r="H125" i="10"/>
  <c r="H122" i="10"/>
  <c r="H131" i="10" s="1"/>
  <c r="C36" i="2"/>
  <c r="F36" i="2" s="1"/>
  <c r="G90" i="7"/>
  <c r="C24" i="2"/>
  <c r="F24" i="2" s="1"/>
  <c r="G91" i="6"/>
  <c r="C28" i="2" s="1"/>
  <c r="F28" i="2" s="1"/>
  <c r="H132" i="10"/>
  <c r="C66" i="2"/>
  <c r="F66" i="2" s="1"/>
  <c r="G92" i="9"/>
  <c r="C68" i="2" s="1"/>
  <c r="F68" i="2" s="1"/>
  <c r="M87" i="4"/>
  <c r="E141" i="2"/>
  <c r="H141" i="2" s="1"/>
  <c r="I91" i="4"/>
  <c r="H72" i="11"/>
  <c r="H88" i="9"/>
  <c r="D64" i="2" s="1"/>
  <c r="G64" i="2" s="1"/>
  <c r="G154" i="2" s="1"/>
  <c r="D60" i="2"/>
  <c r="C101" i="2"/>
  <c r="F101" i="2" s="1"/>
  <c r="G90" i="12"/>
  <c r="H24" i="4"/>
  <c r="H20" i="5"/>
  <c r="H50" i="5"/>
  <c r="H57" i="5"/>
  <c r="H98" i="5"/>
  <c r="L98" i="5" s="1"/>
  <c r="H31" i="4"/>
  <c r="H98" i="4" s="1"/>
  <c r="L98" i="4" s="1"/>
  <c r="I92" i="5"/>
  <c r="E16" i="2" s="1"/>
  <c r="H16" i="2" s="1"/>
  <c r="H131" i="8"/>
  <c r="H135" i="8"/>
  <c r="H86" i="8"/>
  <c r="H83" i="8"/>
  <c r="D45" i="2"/>
  <c r="H134" i="14"/>
  <c r="H135" i="14"/>
  <c r="H72" i="14"/>
  <c r="H132" i="12"/>
  <c r="H131" i="6"/>
  <c r="H137" i="6"/>
  <c r="H83" i="6"/>
  <c r="H86" i="6"/>
  <c r="D19" i="2"/>
  <c r="C89" i="2"/>
  <c r="F89" i="2" s="1"/>
  <c r="G91" i="11"/>
  <c r="C93" i="2" s="1"/>
  <c r="F93" i="2" s="1"/>
  <c r="C114" i="2"/>
  <c r="F114" i="2" s="1"/>
  <c r="G90" i="13"/>
  <c r="H137" i="10"/>
  <c r="H136" i="10"/>
  <c r="G57" i="5"/>
  <c r="G98" i="5"/>
  <c r="K98" i="5" s="1"/>
  <c r="G31" i="4"/>
  <c r="G98" i="4" s="1"/>
  <c r="K98" i="4" s="1"/>
  <c r="E131" i="2"/>
  <c r="H131" i="2" s="1"/>
  <c r="I92" i="14"/>
  <c r="E133" i="2" s="1"/>
  <c r="H133" i="2" s="1"/>
  <c r="G104" i="4"/>
  <c r="K104" i="4" s="1"/>
  <c r="G42" i="4"/>
  <c r="G86" i="8"/>
  <c r="G83" i="8"/>
  <c r="C45" i="2"/>
  <c r="G53" i="4"/>
  <c r="E105" i="2"/>
  <c r="H105" i="2" s="1"/>
  <c r="I92" i="12"/>
  <c r="E107" i="2" s="1"/>
  <c r="H107" i="2" s="1"/>
  <c r="C50" i="2"/>
  <c r="F50" i="2" s="1"/>
  <c r="G91" i="8"/>
  <c r="C54" i="2" s="1"/>
  <c r="F54" i="2" s="1"/>
  <c r="G88" i="14"/>
  <c r="C129" i="2" s="1"/>
  <c r="F129" i="2" s="1"/>
  <c r="F159" i="2" s="1"/>
  <c r="C125" i="2"/>
  <c r="H104" i="5"/>
  <c r="L104" i="5" s="1"/>
  <c r="H42" i="5"/>
  <c r="H55" i="4"/>
  <c r="H30" i="4"/>
  <c r="H97" i="4" s="1"/>
  <c r="L97" i="4" s="1"/>
  <c r="H56" i="5"/>
  <c r="H97" i="5"/>
  <c r="L97" i="5" s="1"/>
  <c r="C75" i="2"/>
  <c r="F75" i="2" s="1"/>
  <c r="G90" i="10"/>
  <c r="C128" i="2"/>
  <c r="F128" i="2" s="1"/>
  <c r="G91" i="14"/>
  <c r="C132" i="2" s="1"/>
  <c r="F132" i="2" s="1"/>
  <c r="E118" i="2"/>
  <c r="H118" i="2" s="1"/>
  <c r="I92" i="13"/>
  <c r="E120" i="2" s="1"/>
  <c r="H120" i="2" s="1"/>
  <c r="G87" i="7"/>
  <c r="C33" i="2"/>
  <c r="H132" i="8"/>
  <c r="H136" i="8"/>
  <c r="H136" i="14"/>
  <c r="H137" i="14"/>
  <c r="H131" i="12"/>
  <c r="H134" i="12"/>
  <c r="E79" i="2"/>
  <c r="H79" i="2" s="1"/>
  <c r="I92" i="10"/>
  <c r="E81" i="2" s="1"/>
  <c r="H81" i="2" s="1"/>
  <c r="H132" i="6"/>
  <c r="H134" i="6"/>
  <c r="H72" i="6"/>
  <c r="C102" i="2"/>
  <c r="F102" i="2" s="1"/>
  <c r="G91" i="12"/>
  <c r="C106" i="2" s="1"/>
  <c r="F106" i="2" s="1"/>
  <c r="H134" i="10"/>
  <c r="H135" i="10"/>
  <c r="H133" i="10"/>
  <c r="H81" i="10"/>
  <c r="H72" i="9"/>
  <c r="G88" i="6"/>
  <c r="C25" i="2" s="1"/>
  <c r="F25" i="2" s="1"/>
  <c r="F151" i="2" s="1"/>
  <c r="C21" i="2"/>
  <c r="M90" i="4"/>
  <c r="E144" i="2"/>
  <c r="H144" i="2" s="1"/>
  <c r="C127" i="2"/>
  <c r="F127" i="2" s="1"/>
  <c r="G90" i="14"/>
  <c r="G88" i="10"/>
  <c r="C77" i="2" s="1"/>
  <c r="F77" i="2" s="1"/>
  <c r="F155" i="2" s="1"/>
  <c r="C73" i="2"/>
  <c r="H160" i="2"/>
  <c r="H133" i="8"/>
  <c r="H137" i="8"/>
  <c r="H131" i="14"/>
  <c r="G118" i="5"/>
  <c r="G114" i="5"/>
  <c r="G56" i="4"/>
  <c r="G119" i="5"/>
  <c r="G115" i="5"/>
  <c r="G62" i="5"/>
  <c r="G116" i="5"/>
  <c r="G105" i="5"/>
  <c r="K105" i="5" s="1"/>
  <c r="G81" i="5"/>
  <c r="G58" i="5"/>
  <c r="G59" i="5" s="1"/>
  <c r="G117" i="5"/>
  <c r="G113" i="5"/>
  <c r="H133" i="12"/>
  <c r="H137" i="12"/>
  <c r="H136" i="12"/>
  <c r="H133" i="6"/>
  <c r="H136" i="6"/>
  <c r="G83" i="7"/>
  <c r="M88" i="4"/>
  <c r="E142" i="2"/>
  <c r="H142" i="2" s="1"/>
  <c r="I92" i="4"/>
  <c r="C76" i="2"/>
  <c r="F76" i="2" s="1"/>
  <c r="G91" i="10"/>
  <c r="C80" i="2" s="1"/>
  <c r="F80" i="2" s="1"/>
  <c r="H88" i="12" l="1"/>
  <c r="D103" i="2" s="1"/>
  <c r="G103" i="2" s="1"/>
  <c r="G157" i="2" s="1"/>
  <c r="D99" i="2"/>
  <c r="H72" i="12"/>
  <c r="G113" i="4"/>
  <c r="G88" i="7"/>
  <c r="C38" i="2" s="1"/>
  <c r="F38" i="2" s="1"/>
  <c r="F152" i="2" s="1"/>
  <c r="C34" i="2"/>
  <c r="G62" i="4"/>
  <c r="G114" i="4"/>
  <c r="G132" i="4" s="1"/>
  <c r="H86" i="10"/>
  <c r="D71" i="2"/>
  <c r="G92" i="10"/>
  <c r="C81" i="2" s="1"/>
  <c r="F81" i="2" s="1"/>
  <c r="C79" i="2"/>
  <c r="F79" i="2" s="1"/>
  <c r="G88" i="8"/>
  <c r="C51" i="2" s="1"/>
  <c r="F51" i="2" s="1"/>
  <c r="F153" i="2" s="1"/>
  <c r="C47" i="2"/>
  <c r="G72" i="8"/>
  <c r="G126" i="5"/>
  <c r="G126" i="4" s="1"/>
  <c r="G122" i="5"/>
  <c r="G122" i="4" s="1"/>
  <c r="G57" i="4"/>
  <c r="G127" i="5"/>
  <c r="G127" i="4" s="1"/>
  <c r="G123" i="5"/>
  <c r="G123" i="4" s="1"/>
  <c r="G63" i="5"/>
  <c r="G63" i="4" s="1"/>
  <c r="G128" i="5"/>
  <c r="G128" i="4" s="1"/>
  <c r="G124" i="5"/>
  <c r="G124" i="4" s="1"/>
  <c r="G106" i="5"/>
  <c r="K106" i="5" s="1"/>
  <c r="G125" i="5"/>
  <c r="G125" i="4" s="1"/>
  <c r="D23" i="2"/>
  <c r="G23" i="2" s="1"/>
  <c r="H90" i="6"/>
  <c r="H26" i="4"/>
  <c r="H27" i="4" s="1"/>
  <c r="H20" i="4"/>
  <c r="H82" i="10"/>
  <c r="D40" i="2"/>
  <c r="G40" i="2" s="1"/>
  <c r="G92" i="6"/>
  <c r="C29" i="2" s="1"/>
  <c r="F29" i="2" s="1"/>
  <c r="C27" i="2"/>
  <c r="F27" i="2" s="1"/>
  <c r="C88" i="2"/>
  <c r="F88" i="2" s="1"/>
  <c r="G90" i="11"/>
  <c r="H87" i="13"/>
  <c r="D111" i="2"/>
  <c r="D101" i="2"/>
  <c r="G101" i="2" s="1"/>
  <c r="H90" i="12"/>
  <c r="H88" i="11"/>
  <c r="D90" i="2" s="1"/>
  <c r="G90" i="2" s="1"/>
  <c r="G156" i="2" s="1"/>
  <c r="D86" i="2"/>
  <c r="H88" i="14"/>
  <c r="D129" i="2" s="1"/>
  <c r="G129" i="2" s="1"/>
  <c r="G159" i="2" s="1"/>
  <c r="D125" i="2"/>
  <c r="D50" i="2"/>
  <c r="G50" i="2" s="1"/>
  <c r="H91" i="8"/>
  <c r="D54" i="2" s="1"/>
  <c r="G54" i="2" s="1"/>
  <c r="M92" i="4"/>
  <c r="E146" i="2"/>
  <c r="H146" i="2" s="1"/>
  <c r="G86" i="5"/>
  <c r="C6" i="2"/>
  <c r="G115" i="4"/>
  <c r="G133" i="4" s="1"/>
  <c r="G133" i="5"/>
  <c r="G136" i="5"/>
  <c r="G118" i="4"/>
  <c r="G72" i="7"/>
  <c r="G92" i="14"/>
  <c r="C133" i="2" s="1"/>
  <c r="F133" i="2" s="1"/>
  <c r="C131" i="2"/>
  <c r="F131" i="2" s="1"/>
  <c r="H104" i="4"/>
  <c r="L104" i="4" s="1"/>
  <c r="H42" i="4"/>
  <c r="C49" i="2"/>
  <c r="F49" i="2" s="1"/>
  <c r="G90" i="8"/>
  <c r="H88" i="6"/>
  <c r="D25" i="2" s="1"/>
  <c r="G25" i="2" s="1"/>
  <c r="G151" i="2" s="1"/>
  <c r="D21" i="2"/>
  <c r="H128" i="5"/>
  <c r="H128" i="4" s="1"/>
  <c r="H124" i="5"/>
  <c r="H124" i="4" s="1"/>
  <c r="H106" i="5"/>
  <c r="L106" i="5" s="1"/>
  <c r="H82" i="5"/>
  <c r="H125" i="5"/>
  <c r="H125" i="4" s="1"/>
  <c r="H57" i="4"/>
  <c r="H126" i="5"/>
  <c r="H126" i="4" s="1"/>
  <c r="H122" i="5"/>
  <c r="H122" i="4" s="1"/>
  <c r="H63" i="5"/>
  <c r="H63" i="4" s="1"/>
  <c r="H127" i="5"/>
  <c r="H127" i="4" s="1"/>
  <c r="H123" i="5"/>
  <c r="H123" i="4" s="1"/>
  <c r="G92" i="12"/>
  <c r="C107" i="2" s="1"/>
  <c r="F107" i="2" s="1"/>
  <c r="C105" i="2"/>
  <c r="F105" i="2" s="1"/>
  <c r="H88" i="7"/>
  <c r="D38" i="2" s="1"/>
  <c r="G38" i="2" s="1"/>
  <c r="G152" i="2" s="1"/>
  <c r="D34" i="2"/>
  <c r="H72" i="7"/>
  <c r="D128" i="2"/>
  <c r="G128" i="2" s="1"/>
  <c r="H91" i="14"/>
  <c r="D132" i="2" s="1"/>
  <c r="G132" i="2" s="1"/>
  <c r="H88" i="8"/>
  <c r="D51" i="2" s="1"/>
  <c r="G51" i="2" s="1"/>
  <c r="G153" i="2" s="1"/>
  <c r="D47" i="2"/>
  <c r="H37" i="5"/>
  <c r="H52" i="5"/>
  <c r="H53" i="5" s="1"/>
  <c r="H50" i="4"/>
  <c r="M91" i="4"/>
  <c r="E145" i="2"/>
  <c r="H145" i="2" s="1"/>
  <c r="C40" i="2"/>
  <c r="F40" i="2" s="1"/>
  <c r="H87" i="12"/>
  <c r="D98" i="2"/>
  <c r="D114" i="2"/>
  <c r="G114" i="2" s="1"/>
  <c r="H90" i="13"/>
  <c r="D24" i="2"/>
  <c r="G24" i="2" s="1"/>
  <c r="H91" i="6"/>
  <c r="D28" i="2" s="1"/>
  <c r="G28" i="2" s="1"/>
  <c r="D89" i="2"/>
  <c r="G89" i="2" s="1"/>
  <c r="H91" i="11"/>
  <c r="D93" i="2" s="1"/>
  <c r="G93" i="2" s="1"/>
  <c r="G119" i="4"/>
  <c r="G117" i="4"/>
  <c r="G135" i="4" s="1"/>
  <c r="G135" i="5"/>
  <c r="G134" i="5"/>
  <c r="G116" i="4"/>
  <c r="G134" i="4" s="1"/>
  <c r="G81" i="4"/>
  <c r="G58" i="4"/>
  <c r="G59" i="4" s="1"/>
  <c r="G105" i="4"/>
  <c r="K105" i="4" s="1"/>
  <c r="C8" i="3"/>
  <c r="H72" i="8"/>
  <c r="C37" i="2"/>
  <c r="F37" i="2" s="1"/>
  <c r="G91" i="7"/>
  <c r="C41" i="2" s="1"/>
  <c r="F41" i="2" s="1"/>
  <c r="H116" i="5"/>
  <c r="H105" i="5"/>
  <c r="L105" i="5" s="1"/>
  <c r="H117" i="5"/>
  <c r="H113" i="5"/>
  <c r="H56" i="4"/>
  <c r="H81" i="5"/>
  <c r="H118" i="5"/>
  <c r="H114" i="5"/>
  <c r="H62" i="5"/>
  <c r="H58" i="5"/>
  <c r="H59" i="5" s="1"/>
  <c r="H119" i="5"/>
  <c r="H115" i="5"/>
  <c r="C118" i="2"/>
  <c r="F118" i="2" s="1"/>
  <c r="G92" i="13"/>
  <c r="C120" i="2" s="1"/>
  <c r="F120" i="2" s="1"/>
  <c r="D49" i="2"/>
  <c r="G49" i="2" s="1"/>
  <c r="H90" i="8"/>
  <c r="H92" i="9"/>
  <c r="D68" i="2" s="1"/>
  <c r="G68" i="2" s="1"/>
  <c r="D66" i="2"/>
  <c r="G66" i="2" s="1"/>
  <c r="H88" i="13"/>
  <c r="D116" i="2" s="1"/>
  <c r="G116" i="2" s="1"/>
  <c r="G158" i="2" s="1"/>
  <c r="D112" i="2"/>
  <c r="G88" i="11"/>
  <c r="C90" i="2" s="1"/>
  <c r="F90" i="2" s="1"/>
  <c r="F156" i="2" s="1"/>
  <c r="C86" i="2"/>
  <c r="G72" i="11"/>
  <c r="D88" i="2"/>
  <c r="G88" i="2" s="1"/>
  <c r="H90" i="11"/>
  <c r="D37" i="2"/>
  <c r="G37" i="2" s="1"/>
  <c r="H91" i="7"/>
  <c r="D41" i="2" s="1"/>
  <c r="G41" i="2" s="1"/>
  <c r="D127" i="2"/>
  <c r="G127" i="2" s="1"/>
  <c r="H90" i="14"/>
  <c r="H72" i="13"/>
  <c r="G92" i="8" l="1"/>
  <c r="C55" i="2" s="1"/>
  <c r="F55" i="2" s="1"/>
  <c r="C53" i="2"/>
  <c r="F53" i="2" s="1"/>
  <c r="H92" i="14"/>
  <c r="D133" i="2" s="1"/>
  <c r="G133" i="2" s="1"/>
  <c r="D131" i="2"/>
  <c r="G131" i="2" s="1"/>
  <c r="H92" i="11"/>
  <c r="D94" i="2" s="1"/>
  <c r="G94" i="2" s="1"/>
  <c r="D92" i="2"/>
  <c r="G92" i="2" s="1"/>
  <c r="H62" i="4"/>
  <c r="D8" i="3"/>
  <c r="H81" i="4"/>
  <c r="H58" i="4"/>
  <c r="H59" i="4" s="1"/>
  <c r="H105" i="4"/>
  <c r="L105" i="4" s="1"/>
  <c r="H134" i="5"/>
  <c r="H116" i="4"/>
  <c r="H134" i="4" s="1"/>
  <c r="G137" i="5"/>
  <c r="D16" i="3"/>
  <c r="G90" i="5"/>
  <c r="C10" i="2"/>
  <c r="F10" i="2" s="1"/>
  <c r="D115" i="2"/>
  <c r="G115" i="2" s="1"/>
  <c r="H91" i="13"/>
  <c r="D119" i="2" s="1"/>
  <c r="G119" i="2" s="1"/>
  <c r="G82" i="5"/>
  <c r="G82" i="4"/>
  <c r="G106" i="4"/>
  <c r="K106" i="4" s="1"/>
  <c r="C15" i="3"/>
  <c r="G132" i="5"/>
  <c r="H83" i="5"/>
  <c r="H72" i="5" s="1"/>
  <c r="D6" i="2"/>
  <c r="H86" i="5"/>
  <c r="H87" i="10"/>
  <c r="D72" i="2"/>
  <c r="H92" i="8"/>
  <c r="D55" i="2" s="1"/>
  <c r="G55" i="2" s="1"/>
  <c r="D53" i="2"/>
  <c r="G53" i="2" s="1"/>
  <c r="H132" i="5"/>
  <c r="H114" i="4"/>
  <c r="H132" i="4" s="1"/>
  <c r="H113" i="4"/>
  <c r="H131" i="4" s="1"/>
  <c r="H131" i="5"/>
  <c r="G137" i="4"/>
  <c r="D102" i="2"/>
  <c r="G102" i="2" s="1"/>
  <c r="H91" i="12"/>
  <c r="D106" i="2" s="1"/>
  <c r="G106" i="2" s="1"/>
  <c r="H87" i="5"/>
  <c r="D7" i="2"/>
  <c r="D105" i="2"/>
  <c r="G105" i="2" s="1"/>
  <c r="C92" i="2"/>
  <c r="F92" i="2" s="1"/>
  <c r="G92" i="11"/>
  <c r="C94" i="2" s="1"/>
  <c r="F94" i="2" s="1"/>
  <c r="C16" i="3"/>
  <c r="G71" i="4"/>
  <c r="H83" i="10"/>
  <c r="G131" i="5"/>
  <c r="G86" i="4"/>
  <c r="G83" i="4"/>
  <c r="C136" i="2"/>
  <c r="D15" i="3"/>
  <c r="D18" i="3" s="1"/>
  <c r="H82" i="4"/>
  <c r="H106" i="4"/>
  <c r="L106" i="4" s="1"/>
  <c r="H133" i="5"/>
  <c r="H115" i="4"/>
  <c r="H133" i="4" s="1"/>
  <c r="H137" i="5"/>
  <c r="H119" i="4"/>
  <c r="H137" i="4" s="1"/>
  <c r="H136" i="5"/>
  <c r="H118" i="4"/>
  <c r="H136" i="4" s="1"/>
  <c r="H117" i="4"/>
  <c r="H135" i="4" s="1"/>
  <c r="H135" i="5"/>
  <c r="H92" i="13"/>
  <c r="D120" i="2" s="1"/>
  <c r="G120" i="2" s="1"/>
  <c r="D118" i="2"/>
  <c r="G118" i="2" s="1"/>
  <c r="G92" i="7"/>
  <c r="C42" i="2" s="1"/>
  <c r="F42" i="2" s="1"/>
  <c r="H52" i="4"/>
  <c r="H53" i="4" s="1"/>
  <c r="H37" i="4"/>
  <c r="G136" i="4"/>
  <c r="H92" i="7"/>
  <c r="D42" i="2" s="1"/>
  <c r="G42" i="2" s="1"/>
  <c r="D27" i="2"/>
  <c r="G27" i="2" s="1"/>
  <c r="H92" i="6"/>
  <c r="D29" i="2" s="1"/>
  <c r="G29" i="2" s="1"/>
  <c r="D75" i="2"/>
  <c r="G75" i="2" s="1"/>
  <c r="H90" i="10"/>
  <c r="G72" i="4"/>
  <c r="G70" i="4"/>
  <c r="C9" i="3"/>
  <c r="C11" i="3" s="1"/>
  <c r="G131" i="4"/>
  <c r="D137" i="2" l="1"/>
  <c r="H87" i="4"/>
  <c r="D76" i="2"/>
  <c r="G76" i="2" s="1"/>
  <c r="H91" i="10"/>
  <c r="D80" i="2" s="1"/>
  <c r="G80" i="2" s="1"/>
  <c r="C7" i="2"/>
  <c r="G87" i="5"/>
  <c r="G83" i="5"/>
  <c r="C14" i="2"/>
  <c r="F14" i="2" s="1"/>
  <c r="G88" i="4"/>
  <c r="C138" i="2"/>
  <c r="H88" i="10"/>
  <c r="D77" i="2" s="1"/>
  <c r="G77" i="2" s="1"/>
  <c r="G155" i="2" s="1"/>
  <c r="D73" i="2"/>
  <c r="H72" i="10"/>
  <c r="D11" i="2"/>
  <c r="G11" i="2" s="1"/>
  <c r="H91" i="5"/>
  <c r="D15" i="2" s="1"/>
  <c r="G15" i="2" s="1"/>
  <c r="H90" i="5"/>
  <c r="D10" i="2"/>
  <c r="G10" i="2" s="1"/>
  <c r="C18" i="3"/>
  <c r="D19" i="3"/>
  <c r="C22" i="3"/>
  <c r="H70" i="4"/>
  <c r="D9" i="3"/>
  <c r="K86" i="4"/>
  <c r="C140" i="2"/>
  <c r="F140" i="2" s="1"/>
  <c r="G90" i="4"/>
  <c r="H71" i="4"/>
  <c r="H86" i="4"/>
  <c r="H83" i="4"/>
  <c r="D136" i="2"/>
  <c r="D79" i="2"/>
  <c r="G79" i="2" s="1"/>
  <c r="H92" i="10"/>
  <c r="D81" i="2" s="1"/>
  <c r="G81" i="2" s="1"/>
  <c r="C12" i="3"/>
  <c r="C23" i="3"/>
  <c r="C19" i="3"/>
  <c r="H92" i="12"/>
  <c r="D107" i="2" s="1"/>
  <c r="G107" i="2" s="1"/>
  <c r="H88" i="5"/>
  <c r="D12" i="2" s="1"/>
  <c r="G12" i="2" s="1"/>
  <c r="G150" i="2" s="1"/>
  <c r="G160" i="2" s="1"/>
  <c r="D8" i="2"/>
  <c r="G87" i="4"/>
  <c r="C137" i="2"/>
  <c r="D11" i="3"/>
  <c r="D22" i="3"/>
  <c r="D12" i="3" l="1"/>
  <c r="D23" i="3"/>
  <c r="K87" i="4"/>
  <c r="C141" i="2"/>
  <c r="F141" i="2" s="1"/>
  <c r="G91" i="4"/>
  <c r="D25" i="3"/>
  <c r="K90" i="4"/>
  <c r="C144" i="2"/>
  <c r="F144" i="2" s="1"/>
  <c r="G92" i="4"/>
  <c r="C8" i="2"/>
  <c r="G88" i="5"/>
  <c r="C12" i="2" s="1"/>
  <c r="F12" i="2" s="1"/>
  <c r="F150" i="2" s="1"/>
  <c r="F160" i="2" s="1"/>
  <c r="G72" i="5"/>
  <c r="G91" i="5"/>
  <c r="C11" i="2"/>
  <c r="F11" i="2" s="1"/>
  <c r="D138" i="2"/>
  <c r="H88" i="4"/>
  <c r="H72" i="4"/>
  <c r="K88" i="4"/>
  <c r="C142" i="2"/>
  <c r="F142" i="2" s="1"/>
  <c r="L87" i="4"/>
  <c r="D141" i="2"/>
  <c r="G141" i="2" s="1"/>
  <c r="H91" i="4"/>
  <c r="L86" i="4"/>
  <c r="D140" i="2"/>
  <c r="G140" i="2" s="1"/>
  <c r="H90" i="4"/>
  <c r="C25" i="3"/>
  <c r="C26" i="3" s="1"/>
  <c r="H92" i="5"/>
  <c r="D16" i="2" s="1"/>
  <c r="G16" i="2" s="1"/>
  <c r="D14" i="2"/>
  <c r="G14" i="2" s="1"/>
  <c r="L90" i="4" l="1"/>
  <c r="H92" i="4"/>
  <c r="D144" i="2"/>
  <c r="G144" i="2" s="1"/>
  <c r="L91" i="4"/>
  <c r="D145" i="2"/>
  <c r="G145" i="2" s="1"/>
  <c r="C15" i="2"/>
  <c r="F15" i="2" s="1"/>
  <c r="G92" i="5"/>
  <c r="C16" i="2" s="1"/>
  <c r="F16" i="2" s="1"/>
  <c r="K92" i="4"/>
  <c r="C146" i="2"/>
  <c r="F146" i="2" s="1"/>
  <c r="D26" i="3"/>
  <c r="L88" i="4"/>
  <c r="D142" i="2"/>
  <c r="G142" i="2" s="1"/>
  <c r="K91" i="4"/>
  <c r="C145" i="2"/>
  <c r="F145" i="2" s="1"/>
  <c r="L92" i="4" l="1"/>
  <c r="D146" i="2"/>
  <c r="G146" i="2" s="1"/>
</calcChain>
</file>

<file path=xl/sharedStrings.xml><?xml version="1.0" encoding="utf-8"?>
<sst xmlns="http://schemas.openxmlformats.org/spreadsheetml/2006/main" count="2556" uniqueCount="289">
  <si>
    <t>Renters</t>
  </si>
  <si>
    <t>Vacant for Sale Units</t>
  </si>
  <si>
    <t>Vacant for Rent Units</t>
  </si>
  <si>
    <t xml:space="preserve">Vacancy Rate Rental </t>
  </si>
  <si>
    <t>Vacancy Rate Ownership</t>
  </si>
  <si>
    <t>Vacancy Rate Total</t>
  </si>
  <si>
    <t>MERRIMACK COUNTY</t>
  </si>
  <si>
    <t>Other Vacant Units</t>
  </si>
  <si>
    <t>Vacant-Rented/Sold - Awaiting Occupancy</t>
  </si>
  <si>
    <t>Total Housing Units</t>
  </si>
  <si>
    <t>Vacant-Occasional Use, Seasonal, Migratory</t>
  </si>
  <si>
    <t>Total Vacant/Seasonal/Occ Use Units</t>
  </si>
  <si>
    <t>Total Stock Occupied or Available</t>
  </si>
  <si>
    <t>Total Ownership Stock Except Sold, Not Occ.</t>
  </si>
  <si>
    <t>Total Rental Units Except Rented, Not Occ.</t>
  </si>
  <si>
    <t>BELKNAP COUNTY</t>
  </si>
  <si>
    <t>CARROLL COUNTY</t>
  </si>
  <si>
    <t>CHESHIRE COUNTY</t>
  </si>
  <si>
    <t>COOS COUNTY</t>
  </si>
  <si>
    <t>GRAFTON COUNTY</t>
  </si>
  <si>
    <t>HILLSBOROUGH COUNTY</t>
  </si>
  <si>
    <t>ROCKINGHAM COUNTY</t>
  </si>
  <si>
    <t>STRAFFORD COUNTY</t>
  </si>
  <si>
    <t>SULLIVAN COUNTY</t>
  </si>
  <si>
    <t xml:space="preserve">   Work Out of State</t>
  </si>
  <si>
    <t xml:space="preserve">   Work in County</t>
  </si>
  <si>
    <t xml:space="preserve">   Work Outside of County </t>
  </si>
  <si>
    <t xml:space="preserve">       Percent Commute Out of County</t>
  </si>
  <si>
    <t>Covered Private Sector Employment in Area (NHDES)</t>
  </si>
  <si>
    <t>Government Employment in Area (NHDES)</t>
  </si>
  <si>
    <t xml:space="preserve">Total Private + Government Employment </t>
  </si>
  <si>
    <t>Ratio Private Covered Employment Per Resident Household</t>
  </si>
  <si>
    <t>not projected</t>
  </si>
  <si>
    <t xml:space="preserve">         Percent of State Total</t>
  </si>
  <si>
    <t>Growth Share</t>
  </si>
  <si>
    <t>Housing Supply 1</t>
  </si>
  <si>
    <t>Housing Supply 2</t>
  </si>
  <si>
    <t>Housing Supply 3</t>
  </si>
  <si>
    <t>Add Replacement for Deterioration, Demolition - Ownership</t>
  </si>
  <si>
    <t>Add Replacement for Deterioration, Demolition - Rental</t>
  </si>
  <si>
    <t xml:space="preserve">        Employment Assumptions</t>
  </si>
  <si>
    <t xml:space="preserve">Owner </t>
  </si>
  <si>
    <t>Total</t>
  </si>
  <si>
    <t xml:space="preserve">Renter </t>
  </si>
  <si>
    <t>Tenure</t>
  </si>
  <si>
    <t>Constant:</t>
  </si>
  <si>
    <t>Derived:</t>
  </si>
  <si>
    <t>Add Replacement for Deterioration, Demolition - Total</t>
  </si>
  <si>
    <t>Basis:</t>
  </si>
  <si>
    <t>Homeowners</t>
  </si>
  <si>
    <t xml:space="preserve">   Under 30% MAI</t>
  </si>
  <si>
    <t xml:space="preserve">   Under 50% MAI</t>
  </si>
  <si>
    <t xml:space="preserve">   Under 60% MAI</t>
  </si>
  <si>
    <t xml:space="preserve">   Under 80% MAI</t>
  </si>
  <si>
    <t xml:space="preserve">   Under 100% MAI</t>
  </si>
  <si>
    <t xml:space="preserve">   Under 120% MAI</t>
  </si>
  <si>
    <t xml:space="preserve">   All Homeowners</t>
  </si>
  <si>
    <t xml:space="preserve">   All Renters</t>
  </si>
  <si>
    <t>Total Households</t>
  </si>
  <si>
    <t xml:space="preserve">   All Households</t>
  </si>
  <si>
    <t xml:space="preserve">Income Distribution-Cumulative </t>
  </si>
  <si>
    <t>A</t>
  </si>
  <si>
    <t>B</t>
  </si>
  <si>
    <t>C</t>
  </si>
  <si>
    <t>Housing Supply Available for Year-Round Occupancy</t>
  </si>
  <si>
    <t>Subtotal: Need for Residents Working Within County</t>
  </si>
  <si>
    <t>Subtotal: Need for Residents Working Within State</t>
  </si>
  <si>
    <t>% Of production for vacancy reserve</t>
  </si>
  <si>
    <t xml:space="preserve">% Of production for vacancy reserve </t>
  </si>
  <si>
    <t>Ownership Units</t>
  </si>
  <si>
    <t>Rental Units</t>
  </si>
  <si>
    <t>Household growth</t>
  </si>
  <si>
    <t>Production Components by Tenure</t>
  </si>
  <si>
    <t>Total Units for Year-Round Residents</t>
  </si>
  <si>
    <t>Vacancy reserve (1)</t>
  </si>
  <si>
    <t>Replace units lost to demolition/disaster</t>
  </si>
  <si>
    <t>Population Projection Based Model</t>
  </si>
  <si>
    <t>Projection 1</t>
  </si>
  <si>
    <t>Projection 2</t>
  </si>
  <si>
    <t>Projection 3</t>
  </si>
  <si>
    <t>Change 1990 to 2000</t>
  </si>
  <si>
    <t xml:space="preserve">Computed </t>
  </si>
  <si>
    <t>Computed</t>
  </si>
  <si>
    <t xml:space="preserve">   Work in Area</t>
  </si>
  <si>
    <t xml:space="preserve">   Work Outside of Area</t>
  </si>
  <si>
    <t xml:space="preserve">       Percent Commute Out of Area</t>
  </si>
  <si>
    <t>Balance computed</t>
  </si>
  <si>
    <t>Computed ratio</t>
  </si>
  <si>
    <t>U. S. Census, 100% count data</t>
  </si>
  <si>
    <t>Computed total</t>
  </si>
  <si>
    <t>Projections in this section are derived from the model.</t>
  </si>
  <si>
    <t>Subtotal: Need for Residents Working in County</t>
  </si>
  <si>
    <t>Labor Force Population (NH Employment Security)</t>
  </si>
  <si>
    <t>Vacant Housing Stock</t>
  </si>
  <si>
    <t>Ratio Households &lt; 65 to Labor Force Population</t>
  </si>
  <si>
    <t xml:space="preserve">  Population in Households</t>
  </si>
  <si>
    <t xml:space="preserve">  Group Quarters Population</t>
  </si>
  <si>
    <t xml:space="preserve">  Group Quarters Population </t>
  </si>
  <si>
    <t>Population &amp; Households Under Age 65</t>
  </si>
  <si>
    <t xml:space="preserve">  Total Persons Under 65</t>
  </si>
  <si>
    <t xml:space="preserve">  Households Headed by Person Under 65</t>
  </si>
  <si>
    <t xml:space="preserve">     Homeowners</t>
  </si>
  <si>
    <t xml:space="preserve">     Renters</t>
  </si>
  <si>
    <t xml:space="preserve">     Ownership Tenure %</t>
  </si>
  <si>
    <t xml:space="preserve">     Rental Tenure %</t>
  </si>
  <si>
    <t xml:space="preserve">   Total Persons Age 65+</t>
  </si>
  <si>
    <t xml:space="preserve">       As Percent of Total Population</t>
  </si>
  <si>
    <t xml:space="preserve">   Group Quarters Population Age 65+</t>
  </si>
  <si>
    <t xml:space="preserve">   Population in Households - Age 65+</t>
  </si>
  <si>
    <t xml:space="preserve">   Households Headed by Persons 65+</t>
  </si>
  <si>
    <t xml:space="preserve">       Percent of Total Households</t>
  </si>
  <si>
    <t xml:space="preserve">  Average Household Size (&lt;65)</t>
  </si>
  <si>
    <t xml:space="preserve">   Average Household Size (65+)</t>
  </si>
  <si>
    <t xml:space="preserve">   Homeowners Age 65+</t>
  </si>
  <si>
    <t xml:space="preserve">   Renters Age 65+</t>
  </si>
  <si>
    <t xml:space="preserve">   Ownership Tenure % (65+)</t>
  </si>
  <si>
    <t xml:space="preserve">   Rental Tenure % (65+)</t>
  </si>
  <si>
    <t>1990-2000 Change</t>
  </si>
  <si>
    <t>projected from headship model</t>
  </si>
  <si>
    <t>Employment projections:</t>
  </si>
  <si>
    <t>Derived from tenure ratios below</t>
  </si>
  <si>
    <t>Sum from above estimates</t>
  </si>
  <si>
    <t>Resulting blended rate from projections by age/tenure above (headship model)</t>
  </si>
  <si>
    <t xml:space="preserve">Ratio-Census Working Residents/NHES Labor Force </t>
  </si>
  <si>
    <t>Number of Working Residents Age 16+ (Census defined)</t>
  </si>
  <si>
    <t>The employment-based projections derive this number first, from ratio in line 22</t>
  </si>
  <si>
    <t xml:space="preserve">  Average Household Size</t>
  </si>
  <si>
    <t xml:space="preserve">  Total Households</t>
  </si>
  <si>
    <t>Ratio Total Population Under 65 to Labor Force</t>
  </si>
  <si>
    <t xml:space="preserve">Total Population </t>
  </si>
  <si>
    <t>2006 rental vacancy rate - NHHFA</t>
  </si>
  <si>
    <t>NEW HAMPSHIRE TOTAL</t>
  </si>
  <si>
    <t xml:space="preserve">       Percent Commute Out of State</t>
  </si>
  <si>
    <t>INPUT TO MODEL</t>
  </si>
  <si>
    <t xml:space="preserve">   Work in New Hampshire</t>
  </si>
  <si>
    <t>these rows are State totals,</t>
  </si>
  <si>
    <t>not the sum of County data</t>
  </si>
  <si>
    <t>Subtotal: Need for Residents Working in State</t>
  </si>
  <si>
    <t>Employment Growth Model 1</t>
  </si>
  <si>
    <t xml:space="preserve">              NEW HAMPSHIRE - AVERAGE ANNUAL HOUSING PRODUCTION REQUIRED TO MEET GROWTH ASSUMPTIONS</t>
  </si>
  <si>
    <t xml:space="preserve">Total production </t>
  </si>
  <si>
    <t>(1) Includes units needed to rectify base year deficiencies in units vacant for sale and for rent, plus</t>
  </si>
  <si>
    <t>units required to maintain desired vacancy rates as growth occurs.</t>
  </si>
  <si>
    <t>Avg annual growth</t>
  </si>
  <si>
    <t xml:space="preserve">NH Employment Security, local and county data </t>
  </si>
  <si>
    <t>Percent of State Total</t>
  </si>
  <si>
    <t>NH Employment Security, local, State and county data</t>
  </si>
  <si>
    <t>NH Employment Security, local and county data</t>
  </si>
  <si>
    <t>Same as above</t>
  </si>
  <si>
    <t>Sum of ownership and rental replacement estimates</t>
  </si>
  <si>
    <t>Households Under 65</t>
  </si>
  <si>
    <t xml:space="preserve">  Ownership</t>
  </si>
  <si>
    <t xml:space="preserve">  Rental</t>
  </si>
  <si>
    <t>Households Age 65+</t>
  </si>
  <si>
    <t>All Households</t>
  </si>
  <si>
    <t>Summary by Age Groups - Occupied Units</t>
  </si>
  <si>
    <t>Average Annual Production</t>
  </si>
  <si>
    <t>Enter Average Annual Percent Growth Rate</t>
  </si>
  <si>
    <t>The population column is data from the BCM Headship Model and NHOEP County population projections</t>
  </si>
  <si>
    <t>In employment-based columns, number = households headed by person &lt;65 x estimated average household size</t>
  </si>
  <si>
    <t>Total elderly population total less GQ estimate</t>
  </si>
  <si>
    <t>Estimated from BCM Headship Model</t>
  </si>
  <si>
    <t>Sum of elderly and non-elderly population</t>
  </si>
  <si>
    <t>Total of elderly and non-elderly GQ estimates</t>
  </si>
  <si>
    <t>Total persons less GQ population</t>
  </si>
  <si>
    <t>Resulting average for all households from avg household size for elderly/non elderly households 2007 and 2015 from headship model</t>
  </si>
  <si>
    <t>Additional units needed to achieve assigned vacancy rates</t>
  </si>
  <si>
    <t>Applied 1% to all counties</t>
  </si>
  <si>
    <t>Blended vacancy rate - units vacant for rent or for sale only</t>
  </si>
  <si>
    <t>Replacement factor for units lost through demolition or disaster</t>
  </si>
  <si>
    <t>This column is based on the age-headship-tenure module assumptions, using NHOEP County population projections by age.   That model produces long term estimates of household size by age group and tenure split by age (&lt;65 and 65+)</t>
  </si>
  <si>
    <t>Population &amp; Households Age 65+</t>
  </si>
  <si>
    <t xml:space="preserve">Ratio derived </t>
  </si>
  <si>
    <t xml:space="preserve">    Ratio:  Labor Force Population to Private &amp; Govt Employment</t>
  </si>
  <si>
    <t>Number of Working Residents Age 16+ (Census &amp; ACS)</t>
  </si>
  <si>
    <t>Labor Force Population</t>
  </si>
  <si>
    <t>NH Employment Security</t>
  </si>
  <si>
    <t>Ratio Labor Force Population to (Private + Gov't Employment)</t>
  </si>
  <si>
    <t>Computed/interpolated from headship model</t>
  </si>
  <si>
    <t>Sum of elderly and non-elderly components above</t>
  </si>
  <si>
    <t>Calculate--&gt;&gt;</t>
  </si>
  <si>
    <t>Update for 2010 Actual</t>
  </si>
  <si>
    <t>Change 2000-2010</t>
  </si>
  <si>
    <t>2020 Employment Based Projection 1</t>
  </si>
  <si>
    <t>2020 Population Based Using NH RDC Projection</t>
  </si>
  <si>
    <t>Households in 2020</t>
  </si>
  <si>
    <t>Change 2010-2020</t>
  </si>
  <si>
    <t>Estimated Year 2020 Households by Tenure, Income Range</t>
  </si>
  <si>
    <t>Forecast</t>
  </si>
  <si>
    <t>Drivers</t>
  </si>
  <si>
    <t>Same Group Quarters Forecast</t>
  </si>
  <si>
    <t>Same Household Forecast</t>
  </si>
  <si>
    <t>&lt;---LF to EMP * EMP = LF</t>
  </si>
  <si>
    <t>&lt;---HH to LF * LF = HH</t>
  </si>
  <si>
    <t>&lt;---Input</t>
  </si>
  <si>
    <t>To Do Next</t>
  </si>
  <si>
    <t>Use ELMI 2020 (less self employed)</t>
  </si>
  <si>
    <t>Employment-Driven; ELMI 2010 to 2020 Forecast</t>
  </si>
  <si>
    <t>Population-Driven (NH RDC Projections April 2013)</t>
  </si>
  <si>
    <t>ESTIMATED HOUSING SUPPLY REQUIREMENTS - 2020 - EXCLUDING SEASONAL UNITS</t>
  </si>
  <si>
    <t>Average Annual Production Needed 2010-2020</t>
  </si>
  <si>
    <t>2020 A</t>
  </si>
  <si>
    <t>2020 B</t>
  </si>
  <si>
    <t>2020 C</t>
  </si>
  <si>
    <t>Total Production Potential 2010-2020</t>
  </si>
  <si>
    <t>Net Production Need 2010-2020</t>
  </si>
  <si>
    <r>
      <t>1</t>
    </r>
    <r>
      <rPr>
        <sz val="8"/>
        <color indexed="8"/>
        <rFont val="Arial"/>
        <family val="2"/>
      </rPr>
      <t xml:space="preserve"> 2008-2010 American Community Survey Table B25118;  2010 Inflation Adjusted dollars</t>
    </r>
  </si>
  <si>
    <r>
      <t>2</t>
    </r>
    <r>
      <rPr>
        <sz val="8"/>
        <color indexed="8"/>
        <rFont val="Arial"/>
        <family val="2"/>
      </rPr>
      <t xml:space="preserve">  2008-2010 American Community Survey Table B19013;  2010 Inflation Adjusted dollars</t>
    </r>
  </si>
  <si>
    <t>2010 ACS</t>
  </si>
  <si>
    <t>Assumes 2008-2010 ACS Income Distribution</t>
  </si>
  <si>
    <t>Old 2009 model</t>
  </si>
  <si>
    <t>Employment Population Average 2</t>
  </si>
  <si>
    <t>Employment Population Average</t>
  </si>
  <si>
    <t>2020 Employment and Population Average</t>
  </si>
  <si>
    <t>Old Model</t>
  </si>
  <si>
    <t>Note: it looks like Bruce Mayberry used OWNERS median income, not average median income in his income distribution calculations</t>
  </si>
  <si>
    <t>Confirmed by trying to replicate his numbers, using 2000 Census data</t>
  </si>
  <si>
    <t>MODEL DATA SOURCES BY LINE NUMBER - PRIOR YEARS AND BASE YEAR 2010</t>
  </si>
  <si>
    <t>U. S. Census (2000) SF3 data and NH Employment Security Commuting Pattern Reports (summarizing 1990 and 2000 Census Commuting Patterns).  2010 estimates from ACS 2006-2010 5-yr average (NH Employment Security analysis)</t>
  </si>
  <si>
    <t>U. S. Census, 100% count data by age; 2010 Census</t>
  </si>
  <si>
    <t xml:space="preserve">U. S. Census, 100% count data.  </t>
  </si>
  <si>
    <t>1990, 2000 and 2010 Census;  total population by age group less GQ population in age group</t>
  </si>
  <si>
    <t>1990, 2000 and 2010 Censusl</t>
  </si>
  <si>
    <t>1990, 2000 and 2010 Census;</t>
  </si>
  <si>
    <t>1990, 2000 and 2010 Census;  2020 Computed/interpolated from headship model</t>
  </si>
  <si>
    <t>Applied the average of 1990, 2000, and 2010 ratios</t>
  </si>
  <si>
    <t>Return to 2000</t>
  </si>
  <si>
    <t>Return to 2000 Labor Force to Employment Ratio</t>
  </si>
  <si>
    <t>1990, 2000, 2010 Census;  total population by age group less GQ population in age group</t>
  </si>
  <si>
    <t xml:space="preserve">U. S. Census, 100% count data; </t>
  </si>
  <si>
    <t>Computed from Census, used 1% for 20200 projections</t>
  </si>
  <si>
    <t>Computed; used NHHFA rent survey data; 4% for future years</t>
  </si>
  <si>
    <t>Replacement needs est. at 0.05% per year x no. of yrs projected x 2020 stock</t>
  </si>
  <si>
    <t>Replacement needs est. at 0.10% per year x no. of years projected x 2020 stock</t>
  </si>
  <si>
    <t>GQ data is actual for 1990, 2000 and estimated for 2010 using NHOEP inventory.  GQ for future years based on BCM Headship Model assumptions</t>
  </si>
  <si>
    <t>2010 and 2020 tenure split estimated from projected from headship model</t>
  </si>
  <si>
    <t>2010 and 2020 data derived independently from headship model</t>
  </si>
  <si>
    <t>2010 and 2020 GQ data estimated from BCM Headship Model</t>
  </si>
  <si>
    <t>Tenure split for 65+ 2010 and later are based on headship model</t>
  </si>
  <si>
    <t>2010 vacancy rate from NHHFA Rent Survey and Census</t>
  </si>
  <si>
    <t>EMPLOYMENT BASED PROJECTION MODEL WITH AGE AND TENURE SPLIT</t>
  </si>
  <si>
    <t>FUTURE YEAR PROJECTED EMPLOYMENT FOR THE COUNTY (Private and Government)</t>
  </si>
  <si>
    <t>RATIO OF LABOR FORCE TO EMPLOYMENT IN THE BASE YEAR</t>
  </si>
  <si>
    <t>X</t>
  </si>
  <si>
    <t>AREA LABOR FORCE IN THE PROJECTION YEAR</t>
  </si>
  <si>
    <t>RATIO OF WORKING RESIDENTS TO THE LABOR FORCE IN THE BASE YEAR</t>
  </si>
  <si>
    <t>ESTIMATED NUMBER OF WORKING RESIDENTS IN THE PROJECTION YEAR</t>
  </si>
  <si>
    <t>PERCENT OF WORKING RESIDENTS EMPLOYED IN THE COUNTY (from commuting estimates)</t>
  </si>
  <si>
    <t>NUMBER OF WORKING RESIDENTS EMPLOYED IN THE AREA</t>
  </si>
  <si>
    <t>=</t>
  </si>
  <si>
    <t>RATIO OF HOUSEHOLDS UNDER AGE 65 TO WORKING RESIDENTS IN REGION</t>
  </si>
  <si>
    <t>PROJECTED HOUSEHOLDS UNDER AGE 65</t>
  </si>
  <si>
    <t>TIMES OWNERSHIP RATIO FOR HH UNDER AGE 65</t>
  </si>
  <si>
    <t>HOME OWNER HOUSEHOLDS UNDER AGE 65</t>
  </si>
  <si>
    <t>TIMES RENTER RATIO FOR HH UNDER AGE 65</t>
  </si>
  <si>
    <t>RENTER HOUSEHOLDS UNDER AGE 65</t>
  </si>
  <si>
    <t>+</t>
  </si>
  <si>
    <t>PROJECTED ELDERLY HOME OWNERS</t>
  </si>
  <si>
    <t>TOTAL HOMEOWNER HOUSEHOLDS ALL AGES</t>
  </si>
  <si>
    <t>/</t>
  </si>
  <si>
    <t>UNITS AVAILABLE TO OWNERS</t>
  </si>
  <si>
    <t>UNITS AVAILABLE TO RENTERS</t>
  </si>
  <si>
    <t>PROJECTED ELDERLY RENTERS</t>
  </si>
  <si>
    <t>TOTAL RENTER HOUSEHOLDS ALL AGES</t>
  </si>
  <si>
    <t xml:space="preserve">   0.99 (Maintain 1% Vacancy Reserve)</t>
  </si>
  <si>
    <t xml:space="preserve">   0.96 (Maintain 4% Vacancy Reserve)</t>
  </si>
  <si>
    <t>REPLACEMENT NEEDS AS DEFINED AS</t>
  </si>
  <si>
    <t xml:space="preserve">    X BASE YEAR OWNERSHIP STOCK)-(1)</t>
  </si>
  <si>
    <t xml:space="preserve">    X BASE YEAR RENTER STOCK)-(1)</t>
  </si>
  <si>
    <t xml:space="preserve">   (0.10% PER YEAR X NUMBER OF YEARS FORECAST</t>
  </si>
  <si>
    <t xml:space="preserve">   (0.05% PER YEAR X NUMBER OF YEARS FORECAST</t>
  </si>
  <si>
    <t>FUTURE YEAR OWNER SUPPLY</t>
  </si>
  <si>
    <t>FUTURE YEAR RENTER SUPPLY</t>
  </si>
  <si>
    <t>(-)</t>
  </si>
  <si>
    <t>BASE YEAR OWNER OCCUPIED + VACANT SALE</t>
  </si>
  <si>
    <t>BASE YEAR RENTER OCCUPIED + VACANT SALE</t>
  </si>
  <si>
    <t>PRODUCTION NEED FOR OWNER</t>
  </si>
  <si>
    <t>PRODUCTION NEED FOR RENTER</t>
  </si>
  <si>
    <t>2010 Ratio held constant, determines under 65 population in households</t>
  </si>
  <si>
    <t>Belknap</t>
  </si>
  <si>
    <t>Carroll</t>
  </si>
  <si>
    <t>Cheshire</t>
  </si>
  <si>
    <t>Coos</t>
  </si>
  <si>
    <t>Grafton</t>
  </si>
  <si>
    <t>Hillsborough</t>
  </si>
  <si>
    <t>Merrimack</t>
  </si>
  <si>
    <t>Rockingham</t>
  </si>
  <si>
    <t>Strafford</t>
  </si>
  <si>
    <t>Sullivan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</si>
</sst>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00"/>
  </numFmts>
  <fonts count="2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Arial"/>
    </font>
    <font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b/>
      <u/>
      <sz val="11"/>
      <name val="Times New Roman"/>
      <family val="1"/>
    </font>
    <font>
      <b/>
      <u/>
      <sz val="10"/>
      <name val="Arial"/>
      <family val="2"/>
    </font>
    <font>
      <u/>
      <sz val="14"/>
      <name val="Times New Roman"/>
      <family val="1"/>
    </font>
    <font>
      <sz val="16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6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0" fillId="0" borderId="0" xfId="0" applyBorder="1"/>
    <xf numFmtId="3" fontId="2" fillId="0" borderId="0" xfId="0" applyNumberFormat="1" applyFont="1" applyBorder="1"/>
    <xf numFmtId="0" fontId="5" fillId="0" borderId="0" xfId="0" applyFont="1" applyBorder="1"/>
    <xf numFmtId="0" fontId="6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wrapText="1"/>
    </xf>
    <xf numFmtId="0" fontId="2" fillId="0" borderId="1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/>
    <xf numFmtId="3" fontId="0" fillId="0" borderId="0" xfId="0" applyNumberFormat="1" applyBorder="1"/>
    <xf numFmtId="3" fontId="7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/>
    <xf numFmtId="0" fontId="7" fillId="0" borderId="0" xfId="0" applyFont="1"/>
    <xf numFmtId="0" fontId="7" fillId="0" borderId="2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7" fillId="0" borderId="3" xfId="0" applyFont="1" applyBorder="1" applyAlignment="1">
      <alignment horizontal="right" wrapText="1"/>
    </xf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9" fillId="0" borderId="4" xfId="0" applyFont="1" applyBorder="1"/>
    <xf numFmtId="0" fontId="9" fillId="0" borderId="0" xfId="0" applyFont="1" applyBorder="1"/>
    <xf numFmtId="0" fontId="7" fillId="0" borderId="5" xfId="0" applyFont="1" applyBorder="1" applyAlignment="1">
      <alignment horizontal="left"/>
    </xf>
    <xf numFmtId="0" fontId="9" fillId="0" borderId="6" xfId="0" applyFont="1" applyBorder="1"/>
    <xf numFmtId="0" fontId="9" fillId="0" borderId="0" xfId="0" applyFont="1" applyFill="1"/>
    <xf numFmtId="164" fontId="9" fillId="0" borderId="0" xfId="0" applyNumberFormat="1" applyFont="1"/>
    <xf numFmtId="4" fontId="9" fillId="0" borderId="0" xfId="0" applyNumberFormat="1" applyFont="1"/>
    <xf numFmtId="3" fontId="9" fillId="0" borderId="0" xfId="0" applyNumberFormat="1" applyFont="1" applyFill="1"/>
    <xf numFmtId="4" fontId="9" fillId="0" borderId="0" xfId="0" applyNumberFormat="1" applyFont="1" applyFill="1"/>
    <xf numFmtId="10" fontId="9" fillId="0" borderId="0" xfId="0" applyNumberFormat="1" applyFont="1" applyFill="1"/>
    <xf numFmtId="164" fontId="9" fillId="0" borderId="0" xfId="0" applyNumberFormat="1" applyFont="1" applyFill="1"/>
    <xf numFmtId="10" fontId="9" fillId="0" borderId="0" xfId="0" applyNumberFormat="1" applyFont="1"/>
    <xf numFmtId="3" fontId="9" fillId="0" borderId="0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7" fillId="0" borderId="3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0" fontId="9" fillId="0" borderId="1" xfId="0" applyFont="1" applyBorder="1"/>
    <xf numFmtId="3" fontId="9" fillId="0" borderId="1" xfId="0" applyNumberFormat="1" applyFont="1" applyBorder="1"/>
    <xf numFmtId="0" fontId="7" fillId="0" borderId="8" xfId="0" applyFont="1" applyBorder="1" applyAlignment="1">
      <alignment horizontal="left"/>
    </xf>
    <xf numFmtId="3" fontId="9" fillId="0" borderId="9" xfId="0" applyNumberFormat="1" applyFont="1" applyBorder="1"/>
    <xf numFmtId="0" fontId="9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164" fontId="7" fillId="0" borderId="0" xfId="0" applyNumberFormat="1" applyFont="1"/>
    <xf numFmtId="0" fontId="11" fillId="0" borderId="0" xfId="0" applyFont="1"/>
    <xf numFmtId="0" fontId="7" fillId="0" borderId="0" xfId="0" applyFont="1" applyFill="1"/>
    <xf numFmtId="0" fontId="10" fillId="0" borderId="3" xfId="0" applyFont="1" applyBorder="1" applyAlignment="1">
      <alignment vertical="center"/>
    </xf>
    <xf numFmtId="3" fontId="8" fillId="0" borderId="0" xfId="0" applyNumberFormat="1" applyFont="1"/>
    <xf numFmtId="164" fontId="8" fillId="0" borderId="0" xfId="0" applyNumberFormat="1" applyFont="1"/>
    <xf numFmtId="0" fontId="13" fillId="0" borderId="0" xfId="0" applyFont="1"/>
    <xf numFmtId="0" fontId="8" fillId="0" borderId="0" xfId="0" applyFont="1" applyBorder="1"/>
    <xf numFmtId="37" fontId="9" fillId="0" borderId="0" xfId="0" applyNumberFormat="1" applyFont="1" applyFill="1"/>
    <xf numFmtId="0" fontId="7" fillId="0" borderId="0" xfId="0" applyFont="1" applyBorder="1"/>
    <xf numFmtId="3" fontId="8" fillId="0" borderId="0" xfId="0" applyNumberFormat="1" applyFont="1" applyBorder="1"/>
    <xf numFmtId="3" fontId="8" fillId="0" borderId="6" xfId="0" applyNumberFormat="1" applyFont="1" applyBorder="1"/>
    <xf numFmtId="0" fontId="8" fillId="0" borderId="0" xfId="0" applyFont="1" applyBorder="1" applyAlignment="1">
      <alignment horizontal="right"/>
    </xf>
    <xf numFmtId="0" fontId="9" fillId="0" borderId="3" xfId="0" applyFont="1" applyBorder="1"/>
    <xf numFmtId="0" fontId="7" fillId="0" borderId="3" xfId="0" applyFont="1" applyBorder="1" applyAlignment="1">
      <alignment horizontal="center"/>
    </xf>
    <xf numFmtId="0" fontId="9" fillId="0" borderId="2" xfId="0" applyFont="1" applyBorder="1"/>
    <xf numFmtId="0" fontId="9" fillId="0" borderId="7" xfId="0" applyFont="1" applyBorder="1" applyAlignment="1">
      <alignment horizontal="right" wrapText="1"/>
    </xf>
    <xf numFmtId="0" fontId="9" fillId="0" borderId="1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3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13" fillId="0" borderId="5" xfId="0" applyNumberFormat="1" applyFont="1" applyBorder="1"/>
    <xf numFmtId="3" fontId="8" fillId="0" borderId="9" xfId="0" applyNumberFormat="1" applyFont="1" applyBorder="1"/>
    <xf numFmtId="3" fontId="8" fillId="0" borderId="5" xfId="0" applyNumberFormat="1" applyFont="1" applyBorder="1"/>
    <xf numFmtId="3" fontId="8" fillId="0" borderId="11" xfId="0" applyNumberFormat="1" applyFont="1" applyBorder="1"/>
    <xf numFmtId="1" fontId="13" fillId="0" borderId="0" xfId="0" applyNumberFormat="1" applyFont="1" applyBorder="1" applyAlignment="1">
      <alignment horizontal="right"/>
    </xf>
    <xf numFmtId="1" fontId="13" fillId="0" borderId="12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8" fillId="0" borderId="12" xfId="0" applyNumberFormat="1" applyFont="1" applyBorder="1"/>
    <xf numFmtId="3" fontId="13" fillId="0" borderId="8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/>
    <xf numFmtId="3" fontId="8" fillId="0" borderId="2" xfId="0" applyNumberFormat="1" applyFont="1" applyBorder="1" applyAlignment="1">
      <alignment horizontal="right"/>
    </xf>
    <xf numFmtId="3" fontId="8" fillId="0" borderId="8" xfId="0" applyNumberFormat="1" applyFont="1" applyBorder="1"/>
    <xf numFmtId="3" fontId="8" fillId="0" borderId="2" xfId="0" applyNumberFormat="1" applyFont="1" applyBorder="1"/>
    <xf numFmtId="3" fontId="8" fillId="0" borderId="13" xfId="0" applyNumberFormat="1" applyFont="1" applyBorder="1"/>
    <xf numFmtId="3" fontId="8" fillId="0" borderId="14" xfId="0" applyNumberFormat="1" applyFont="1" applyBorder="1"/>
    <xf numFmtId="3" fontId="7" fillId="0" borderId="8" xfId="0" applyNumberFormat="1" applyFont="1" applyBorder="1"/>
    <xf numFmtId="3" fontId="8" fillId="0" borderId="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right"/>
    </xf>
    <xf numFmtId="3" fontId="8" fillId="0" borderId="10" xfId="0" applyNumberFormat="1" applyFont="1" applyBorder="1" applyAlignment="1">
      <alignment horizontal="right"/>
    </xf>
    <xf numFmtId="3" fontId="8" fillId="0" borderId="10" xfId="0" applyNumberFormat="1" applyFont="1" applyBorder="1"/>
    <xf numFmtId="3" fontId="13" fillId="0" borderId="3" xfId="0" applyNumberFormat="1" applyFont="1" applyBorder="1"/>
    <xf numFmtId="3" fontId="13" fillId="0" borderId="2" xfId="0" applyNumberFormat="1" applyFont="1" applyBorder="1"/>
    <xf numFmtId="3" fontId="7" fillId="0" borderId="3" xfId="0" applyNumberFormat="1" applyFont="1" applyBorder="1"/>
    <xf numFmtId="3" fontId="8" fillId="2" borderId="3" xfId="0" applyNumberFormat="1" applyFont="1" applyFill="1" applyBorder="1"/>
    <xf numFmtId="3" fontId="8" fillId="2" borderId="2" xfId="0" applyNumberFormat="1" applyFont="1" applyFill="1" applyBorder="1"/>
    <xf numFmtId="3" fontId="10" fillId="2" borderId="8" xfId="0" applyNumberFormat="1" applyFont="1" applyFill="1" applyBorder="1"/>
    <xf numFmtId="3" fontId="8" fillId="2" borderId="3" xfId="0" applyNumberFormat="1" applyFont="1" applyFill="1" applyBorder="1" applyAlignment="1">
      <alignment horizontal="right"/>
    </xf>
    <xf numFmtId="3" fontId="14" fillId="2" borderId="3" xfId="0" applyNumberFormat="1" applyFont="1" applyFill="1" applyBorder="1"/>
    <xf numFmtId="3" fontId="14" fillId="2" borderId="3" xfId="0" applyNumberFormat="1" applyFont="1" applyFill="1" applyBorder="1" applyAlignment="1">
      <alignment horizontal="right"/>
    </xf>
    <xf numFmtId="3" fontId="14" fillId="2" borderId="2" xfId="0" applyNumberFormat="1" applyFont="1" applyFill="1" applyBorder="1" applyAlignment="1">
      <alignment horizontal="right"/>
    </xf>
    <xf numFmtId="3" fontId="10" fillId="2" borderId="3" xfId="0" applyNumberFormat="1" applyFont="1" applyFill="1" applyBorder="1"/>
    <xf numFmtId="3" fontId="10" fillId="2" borderId="2" xfId="0" applyNumberFormat="1" applyFont="1" applyFill="1" applyBorder="1"/>
    <xf numFmtId="0" fontId="8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3" xfId="0" applyFont="1" applyBorder="1" applyAlignment="1">
      <alignment vertical="center"/>
    </xf>
    <xf numFmtId="0" fontId="13" fillId="0" borderId="1" xfId="0" applyFont="1" applyBorder="1" applyAlignment="1">
      <alignment horizontal="center" wrapText="1"/>
    </xf>
    <xf numFmtId="0" fontId="13" fillId="0" borderId="5" xfId="0" applyFont="1" applyBorder="1"/>
    <xf numFmtId="0" fontId="8" fillId="0" borderId="4" xfId="0" applyFont="1" applyBorder="1"/>
    <xf numFmtId="0" fontId="8" fillId="0" borderId="11" xfId="0" applyFont="1" applyBorder="1"/>
    <xf numFmtId="3" fontId="8" fillId="0" borderId="15" xfId="0" applyNumberFormat="1" applyFont="1" applyBorder="1"/>
    <xf numFmtId="0" fontId="8" fillId="0" borderId="8" xfId="0" applyFont="1" applyBorder="1"/>
    <xf numFmtId="3" fontId="8" fillId="0" borderId="1" xfId="0" applyNumberFormat="1" applyFont="1" applyBorder="1"/>
    <xf numFmtId="0" fontId="8" fillId="0" borderId="13" xfId="0" applyFont="1" applyBorder="1" applyAlignment="1">
      <alignment wrapText="1"/>
    </xf>
    <xf numFmtId="164" fontId="8" fillId="0" borderId="7" xfId="0" applyNumberFormat="1" applyFont="1" applyBorder="1"/>
    <xf numFmtId="0" fontId="13" fillId="0" borderId="11" xfId="0" applyFont="1" applyBorder="1"/>
    <xf numFmtId="0" fontId="8" fillId="0" borderId="15" xfId="0" applyFont="1" applyBorder="1"/>
    <xf numFmtId="3" fontId="7" fillId="0" borderId="0" xfId="0" applyNumberFormat="1" applyFont="1" applyFill="1"/>
    <xf numFmtId="0" fontId="7" fillId="3" borderId="0" xfId="0" applyFont="1" applyFill="1"/>
    <xf numFmtId="10" fontId="7" fillId="3" borderId="1" xfId="0" applyNumberFormat="1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3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2" fontId="9" fillId="0" borderId="0" xfId="0" applyNumberFormat="1" applyFont="1" applyFill="1"/>
    <xf numFmtId="0" fontId="9" fillId="0" borderId="4" xfId="0" applyFont="1" applyFill="1" applyBorder="1"/>
    <xf numFmtId="0" fontId="9" fillId="0" borderId="7" xfId="0" applyFont="1" applyFill="1" applyBorder="1"/>
    <xf numFmtId="0" fontId="9" fillId="0" borderId="1" xfId="0" applyFont="1" applyFill="1" applyBorder="1"/>
    <xf numFmtId="0" fontId="7" fillId="0" borderId="8" xfId="0" applyFont="1" applyFill="1" applyBorder="1" applyAlignment="1">
      <alignment horizontal="left"/>
    </xf>
    <xf numFmtId="0" fontId="0" fillId="0" borderId="0" xfId="0" applyFill="1"/>
    <xf numFmtId="0" fontId="2" fillId="0" borderId="0" xfId="0" applyFont="1" applyFill="1"/>
    <xf numFmtId="165" fontId="9" fillId="0" borderId="0" xfId="0" applyNumberFormat="1" applyFont="1" applyFill="1"/>
    <xf numFmtId="4" fontId="9" fillId="0" borderId="0" xfId="0" applyNumberFormat="1" applyFont="1" applyFill="1" applyAlignment="1">
      <alignment horizontal="right"/>
    </xf>
    <xf numFmtId="0" fontId="7" fillId="0" borderId="3" xfId="0" applyFont="1" applyFill="1" applyBorder="1"/>
    <xf numFmtId="0" fontId="7" fillId="0" borderId="3" xfId="0" applyFont="1" applyFill="1" applyBorder="1" applyAlignment="1">
      <alignment horizontal="right" wrapText="1"/>
    </xf>
    <xf numFmtId="3" fontId="2" fillId="0" borderId="0" xfId="0" applyNumberFormat="1" applyFont="1" applyFill="1"/>
    <xf numFmtId="3" fontId="9" fillId="0" borderId="0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 wrapText="1"/>
    </xf>
    <xf numFmtId="0" fontId="9" fillId="0" borderId="2" xfId="0" applyFont="1" applyFill="1" applyBorder="1" applyAlignment="1">
      <alignment horizontal="right" wrapText="1"/>
    </xf>
    <xf numFmtId="3" fontId="9" fillId="0" borderId="1" xfId="0" applyNumberFormat="1" applyFont="1" applyFill="1" applyBorder="1"/>
    <xf numFmtId="0" fontId="9" fillId="0" borderId="0" xfId="0" applyFont="1" applyFill="1" applyBorder="1"/>
    <xf numFmtId="0" fontId="9" fillId="0" borderId="12" xfId="0" applyFont="1" applyFill="1" applyBorder="1"/>
    <xf numFmtId="0" fontId="9" fillId="0" borderId="6" xfId="0" applyFont="1" applyFill="1" applyBorder="1"/>
    <xf numFmtId="3" fontId="9" fillId="0" borderId="9" xfId="0" applyNumberFormat="1" applyFont="1" applyFill="1" applyBorder="1"/>
    <xf numFmtId="164" fontId="0" fillId="0" borderId="0" xfId="0" applyNumberFormat="1" applyFill="1"/>
    <xf numFmtId="3" fontId="7" fillId="0" borderId="0" xfId="0" applyNumberFormat="1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left"/>
    </xf>
    <xf numFmtId="0" fontId="9" fillId="0" borderId="0" xfId="0" applyFont="1" applyFill="1" applyAlignment="1">
      <alignment horizontal="right" wrapText="1"/>
    </xf>
    <xf numFmtId="0" fontId="12" fillId="0" borderId="0" xfId="0" applyFont="1" applyFill="1"/>
    <xf numFmtId="0" fontId="11" fillId="0" borderId="0" xfId="0" applyFont="1" applyFill="1"/>
    <xf numFmtId="3" fontId="2" fillId="0" borderId="0" xfId="0" applyNumberFormat="1" applyFont="1" applyFill="1" applyBorder="1"/>
    <xf numFmtId="0" fontId="0" fillId="0" borderId="0" xfId="0" applyFill="1" applyBorder="1"/>
    <xf numFmtId="0" fontId="10" fillId="0" borderId="3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1" fontId="10" fillId="0" borderId="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/>
    <xf numFmtId="3" fontId="7" fillId="0" borderId="8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3" fontId="7" fillId="0" borderId="0" xfId="0" applyNumberFormat="1" applyFont="1" applyBorder="1"/>
    <xf numFmtId="3" fontId="0" fillId="0" borderId="1" xfId="0" applyNumberFormat="1" applyBorder="1"/>
    <xf numFmtId="9" fontId="2" fillId="0" borderId="0" xfId="0" applyNumberFormat="1" applyFont="1" applyBorder="1"/>
    <xf numFmtId="3" fontId="9" fillId="0" borderId="0" xfId="0" quotePrefix="1" applyNumberFormat="1" applyFont="1" applyFill="1" applyAlignment="1">
      <alignment horizontal="right"/>
    </xf>
    <xf numFmtId="0" fontId="9" fillId="0" borderId="0" xfId="0" applyFont="1" applyFill="1" applyBorder="1" applyAlignment="1">
      <alignment horizontal="right" wrapText="1"/>
    </xf>
    <xf numFmtId="3" fontId="9" fillId="0" borderId="0" xfId="0" applyNumberFormat="1" applyFont="1" applyFill="1" applyBorder="1" applyAlignment="1">
      <alignment horizontal="right" wrapText="1"/>
    </xf>
    <xf numFmtId="165" fontId="9" fillId="0" borderId="0" xfId="0" applyNumberFormat="1" applyFont="1" applyFill="1" applyAlignment="1">
      <alignment horizontal="right"/>
    </xf>
    <xf numFmtId="37" fontId="9" fillId="0" borderId="0" xfId="0" applyNumberFormat="1" applyFont="1" applyFill="1" applyAlignment="1">
      <alignment horizontal="right"/>
    </xf>
    <xf numFmtId="164" fontId="0" fillId="0" borderId="0" xfId="0" applyNumberFormat="1"/>
    <xf numFmtId="3" fontId="9" fillId="0" borderId="12" xfId="0" applyNumberFormat="1" applyFont="1" applyFill="1" applyBorder="1"/>
    <xf numFmtId="164" fontId="9" fillId="0" borderId="0" xfId="0" applyNumberFormat="1" applyFont="1" applyFill="1" applyBorder="1"/>
    <xf numFmtId="0" fontId="2" fillId="0" borderId="1" xfId="0" applyFont="1" applyFill="1" applyBorder="1"/>
    <xf numFmtId="0" fontId="2" fillId="0" borderId="4" xfId="0" applyFont="1" applyBorder="1" applyAlignment="1">
      <alignment vertical="center" wrapText="1"/>
    </xf>
    <xf numFmtId="165" fontId="7" fillId="2" borderId="0" xfId="0" applyNumberFormat="1" applyFont="1" applyFill="1" applyBorder="1" applyAlignment="1">
      <alignment horizontal="right"/>
    </xf>
    <xf numFmtId="37" fontId="7" fillId="2" borderId="0" xfId="0" applyNumberFormat="1" applyFont="1" applyFill="1" applyBorder="1" applyAlignment="1">
      <alignment horizontal="right"/>
    </xf>
    <xf numFmtId="165" fontId="7" fillId="2" borderId="0" xfId="0" applyNumberFormat="1" applyFont="1" applyFill="1" applyBorder="1"/>
    <xf numFmtId="165" fontId="7" fillId="2" borderId="12" xfId="0" applyNumberFormat="1" applyFont="1" applyFill="1" applyBorder="1"/>
    <xf numFmtId="0" fontId="7" fillId="2" borderId="0" xfId="0" applyFont="1" applyFill="1" applyBorder="1" applyAlignment="1">
      <alignment horizontal="right"/>
    </xf>
    <xf numFmtId="164" fontId="7" fillId="2" borderId="0" xfId="0" applyNumberFormat="1" applyFont="1" applyFill="1" applyBorder="1"/>
    <xf numFmtId="164" fontId="7" fillId="2" borderId="12" xfId="0" applyNumberFormat="1" applyFont="1" applyFill="1" applyBorder="1"/>
    <xf numFmtId="4" fontId="7" fillId="2" borderId="0" xfId="0" applyNumberFormat="1" applyFont="1" applyFill="1" applyBorder="1"/>
    <xf numFmtId="4" fontId="7" fillId="2" borderId="12" xfId="0" applyNumberFormat="1" applyFont="1" applyFill="1" applyBorder="1"/>
    <xf numFmtId="3" fontId="7" fillId="2" borderId="0" xfId="0" applyNumberFormat="1" applyFont="1" applyFill="1" applyBorder="1"/>
    <xf numFmtId="2" fontId="7" fillId="2" borderId="0" xfId="0" applyNumberFormat="1" applyFont="1" applyFill="1" applyBorder="1"/>
    <xf numFmtId="2" fontId="7" fillId="2" borderId="0" xfId="0" applyNumberFormat="1" applyFont="1" applyFill="1"/>
    <xf numFmtId="3" fontId="7" fillId="2" borderId="0" xfId="0" applyNumberFormat="1" applyFont="1" applyFill="1" applyBorder="1" applyAlignment="1">
      <alignment horizontal="right"/>
    </xf>
    <xf numFmtId="164" fontId="7" fillId="2" borderId="0" xfId="0" applyNumberFormat="1" applyFont="1" applyFill="1"/>
    <xf numFmtId="3" fontId="7" fillId="2" borderId="0" xfId="0" applyNumberFormat="1" applyFont="1" applyFill="1"/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3" fontId="9" fillId="4" borderId="0" xfId="0" applyNumberFormat="1" applyFont="1" applyFill="1"/>
    <xf numFmtId="164" fontId="9" fillId="4" borderId="0" xfId="0" applyNumberFormat="1" applyFont="1" applyFill="1"/>
    <xf numFmtId="3" fontId="11" fillId="0" borderId="0" xfId="0" applyNumberFormat="1" applyFont="1" applyBorder="1" applyAlignment="1">
      <alignment horizontal="left"/>
    </xf>
    <xf numFmtId="0" fontId="0" fillId="5" borderId="0" xfId="0" applyFill="1"/>
    <xf numFmtId="164" fontId="9" fillId="6" borderId="0" xfId="0" applyNumberFormat="1" applyFont="1" applyFill="1"/>
    <xf numFmtId="0" fontId="15" fillId="0" borderId="0" xfId="0" applyFont="1" applyBorder="1"/>
    <xf numFmtId="3" fontId="9" fillId="7" borderId="0" xfId="0" applyNumberFormat="1" applyFont="1" applyFill="1" applyBorder="1"/>
    <xf numFmtId="0" fontId="17" fillId="0" borderId="0" xfId="0" applyFont="1"/>
    <xf numFmtId="0" fontId="8" fillId="8" borderId="8" xfId="0" applyFont="1" applyFill="1" applyBorder="1"/>
    <xf numFmtId="3" fontId="8" fillId="8" borderId="1" xfId="0" applyNumberFormat="1" applyFont="1" applyFill="1" applyBorder="1"/>
    <xf numFmtId="0" fontId="18" fillId="0" borderId="0" xfId="0" applyFont="1" applyAlignment="1">
      <alignment horizontal="center"/>
    </xf>
    <xf numFmtId="0" fontId="0" fillId="0" borderId="0" xfId="0" quotePrefix="1"/>
    <xf numFmtId="0" fontId="19" fillId="0" borderId="0" xfId="0" applyFont="1"/>
    <xf numFmtId="0" fontId="7" fillId="0" borderId="0" xfId="0" quotePrefix="1" applyFont="1"/>
    <xf numFmtId="3" fontId="9" fillId="0" borderId="8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13" fillId="9" borderId="8" xfId="0" applyNumberFormat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wrapText="1"/>
    </xf>
    <xf numFmtId="0" fontId="7" fillId="3" borderId="9" xfId="0" applyFont="1" applyFill="1" applyBorder="1" applyAlignment="1">
      <alignment wrapText="1"/>
    </xf>
    <xf numFmtId="0" fontId="7" fillId="3" borderId="13" xfId="0" applyFont="1" applyFill="1" applyBorder="1" applyAlignment="1">
      <alignment wrapText="1"/>
    </xf>
    <xf numFmtId="0" fontId="7" fillId="3" borderId="10" xfId="0" applyFont="1" applyFill="1" applyBorder="1" applyAlignment="1">
      <alignment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9" fillId="0" borderId="14" xfId="0" applyFont="1" applyFill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worksheet" Target="worksheets/sheet16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9.xml"/><Relationship Id="rId19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Average Annual Housing Production Needed 2010 to 2020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'PRODUCTION NEED SUMMARY'!$D$150:$D$159</c:f>
              <c:strCache>
                <c:ptCount val="10"/>
                <c:pt idx="0">
                  <c:v>Belknap</c:v>
                </c:pt>
                <c:pt idx="1">
                  <c:v>Carroll</c:v>
                </c:pt>
                <c:pt idx="2">
                  <c:v>Cheshire</c:v>
                </c:pt>
                <c:pt idx="3">
                  <c:v>Coos</c:v>
                </c:pt>
                <c:pt idx="4">
                  <c:v>Grafton</c:v>
                </c:pt>
                <c:pt idx="5">
                  <c:v>Hillsborough</c:v>
                </c:pt>
                <c:pt idx="6">
                  <c:v>Merrimack</c:v>
                </c:pt>
                <c:pt idx="7">
                  <c:v>Rockingham</c:v>
                </c:pt>
                <c:pt idx="8">
                  <c:v>Strafford</c:v>
                </c:pt>
                <c:pt idx="9">
                  <c:v>Sullivan</c:v>
                </c:pt>
              </c:strCache>
            </c:strRef>
          </c:cat>
          <c:val>
            <c:numRef>
              <c:f>'PRODUCTION NEED SUMMARY'!$G$150:$G$159</c:f>
              <c:numCache>
                <c:formatCode>#,##0</c:formatCode>
                <c:ptCount val="10"/>
                <c:pt idx="0">
                  <c:v>151.18981419160701</c:v>
                </c:pt>
                <c:pt idx="1">
                  <c:v>202.7397133064951</c:v>
                </c:pt>
                <c:pt idx="2">
                  <c:v>219.14538664944411</c:v>
                </c:pt>
                <c:pt idx="3">
                  <c:v>-9.9835642915262728</c:v>
                </c:pt>
                <c:pt idx="4">
                  <c:v>421.38198703823946</c:v>
                </c:pt>
                <c:pt idx="5">
                  <c:v>1383.0570487180898</c:v>
                </c:pt>
                <c:pt idx="6">
                  <c:v>753.57009187622464</c:v>
                </c:pt>
                <c:pt idx="7">
                  <c:v>1652.2772691238642</c:v>
                </c:pt>
                <c:pt idx="8">
                  <c:v>396.97451606187826</c:v>
                </c:pt>
                <c:pt idx="9">
                  <c:v>93.446435602293064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65136256"/>
        <c:axId val="226144256"/>
      </c:barChart>
      <c:catAx>
        <c:axId val="165136256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b="1"/>
            </a:pPr>
            <a:endParaRPr lang="en-US"/>
          </a:p>
        </c:txPr>
        <c:crossAx val="226144256"/>
        <c:crosses val="autoZero"/>
        <c:auto val="1"/>
        <c:lblAlgn val="ctr"/>
        <c:lblOffset val="100"/>
        <c:noMultiLvlLbl val="0"/>
      </c:catAx>
      <c:valAx>
        <c:axId val="2261442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5136256"/>
        <c:crosses val="autoZero"/>
        <c:crossBetween val="between"/>
      </c:valAx>
      <c:spPr>
        <a:solidFill>
          <a:schemeClr val="bg1"/>
        </a:solidFill>
      </c:spPr>
    </c:plotArea>
    <c:plotVisOnly val="1"/>
    <c:dispBlanksAs val="gap"/>
    <c:showDLblsOverMax val="0"/>
  </c:chart>
  <c:spPr>
    <a:solidFill>
      <a:schemeClr val="bg1">
        <a:lumMod val="95000"/>
      </a:schemeClr>
    </a:solidFill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5305216426193117"/>
          <c:y val="1.95758564437194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889012208657049E-2"/>
          <c:y val="0.14681892332789559"/>
          <c:w val="0.88901220865704778"/>
          <c:h val="0.554649265905383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'PRODUCTION NEED SUMMARY'!$F$2:$H$2</c:f>
              <c:strCache>
                <c:ptCount val="1"/>
                <c:pt idx="0">
                  <c:v>Average Annual Production Needed 2010-2020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'PRODUCTION NEED SUMMARY'!$B$150:$B$159</c:f>
              <c:strCache>
                <c:ptCount val="10"/>
                <c:pt idx="0">
                  <c:v>BELKNAP COUNTY</c:v>
                </c:pt>
                <c:pt idx="1">
                  <c:v>CARROLL COUNTY</c:v>
                </c:pt>
                <c:pt idx="2">
                  <c:v>CHESHIRE COUNTY</c:v>
                </c:pt>
                <c:pt idx="3">
                  <c:v>COOS COUNTY</c:v>
                </c:pt>
                <c:pt idx="4">
                  <c:v>GRAFTON COUNTY</c:v>
                </c:pt>
                <c:pt idx="5">
                  <c:v>HILLSBOROUGH COUNTY</c:v>
                </c:pt>
                <c:pt idx="6">
                  <c:v>MERRIMACK COUNTY</c:v>
                </c:pt>
                <c:pt idx="7">
                  <c:v>ROCKINGHAM COUNTY</c:v>
                </c:pt>
                <c:pt idx="8">
                  <c:v>STRAFFORD COUNTY</c:v>
                </c:pt>
                <c:pt idx="9">
                  <c:v>SULLIVAN COUNTY</c:v>
                </c:pt>
              </c:strCache>
            </c:strRef>
          </c:cat>
          <c:val>
            <c:numRef>
              <c:f>'PRODUCTION NEED SUMMARY'!$G$150:$G$159</c:f>
              <c:numCache>
                <c:formatCode>#,##0</c:formatCode>
                <c:ptCount val="10"/>
                <c:pt idx="0">
                  <c:v>151.18981419160701</c:v>
                </c:pt>
                <c:pt idx="1">
                  <c:v>202.7397133064951</c:v>
                </c:pt>
                <c:pt idx="2">
                  <c:v>219.14538664944411</c:v>
                </c:pt>
                <c:pt idx="3">
                  <c:v>-9.9835642915262728</c:v>
                </c:pt>
                <c:pt idx="4">
                  <c:v>421.38198703823946</c:v>
                </c:pt>
                <c:pt idx="5">
                  <c:v>1383.0570487180898</c:v>
                </c:pt>
                <c:pt idx="6">
                  <c:v>753.57009187622464</c:v>
                </c:pt>
                <c:pt idx="7">
                  <c:v>1652.2772691238642</c:v>
                </c:pt>
                <c:pt idx="8">
                  <c:v>396.97451606187826</c:v>
                </c:pt>
                <c:pt idx="9">
                  <c:v>93.446435602293064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939392"/>
        <c:axId val="242940928"/>
      </c:barChart>
      <c:catAx>
        <c:axId val="24293939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294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9409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429393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8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385763</xdr:colOff>
      <xdr:row>26</xdr:row>
      <xdr:rowOff>19050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90139" cy="583847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topLeftCell="A52" zoomScaleNormal="100" workbookViewId="0">
      <selection activeCell="H150" sqref="H150:H160"/>
    </sheetView>
  </sheetViews>
  <sheetFormatPr defaultRowHeight="12.75" x14ac:dyDescent="0.2"/>
  <cols>
    <col min="1" max="1" width="55.7109375" customWidth="1"/>
    <col min="2" max="6" width="11.7109375" customWidth="1"/>
    <col min="7" max="9" width="15.7109375" customWidth="1"/>
  </cols>
  <sheetData>
    <row r="1" spans="1:9" ht="78.75" x14ac:dyDescent="0.2">
      <c r="A1" s="171" t="s">
        <v>20</v>
      </c>
      <c r="B1" s="172">
        <v>1990</v>
      </c>
      <c r="C1" s="172">
        <v>2000</v>
      </c>
      <c r="D1" s="138" t="s">
        <v>80</v>
      </c>
      <c r="E1" s="137">
        <v>2010</v>
      </c>
      <c r="F1" s="138" t="s">
        <v>182</v>
      </c>
      <c r="G1" s="137" t="s">
        <v>183</v>
      </c>
      <c r="H1" s="137" t="s">
        <v>213</v>
      </c>
      <c r="I1" s="173" t="s">
        <v>184</v>
      </c>
    </row>
    <row r="2" spans="1:9" ht="12.75" customHeight="1" x14ac:dyDescent="0.2">
      <c r="A2" s="37" t="s">
        <v>28</v>
      </c>
      <c r="B2" s="40">
        <v>147565</v>
      </c>
      <c r="C2" s="40">
        <v>174877</v>
      </c>
      <c r="D2" s="40">
        <f>C2-B2</f>
        <v>27312</v>
      </c>
      <c r="E2" s="217">
        <v>162829</v>
      </c>
      <c r="F2" s="70">
        <f>E2-C2</f>
        <v>-12048</v>
      </c>
      <c r="G2" s="37" t="s">
        <v>196</v>
      </c>
      <c r="H2" s="37"/>
      <c r="I2" s="250" t="s">
        <v>170</v>
      </c>
    </row>
    <row r="3" spans="1:9" x14ac:dyDescent="0.2">
      <c r="A3" s="37" t="s">
        <v>33</v>
      </c>
      <c r="B3" s="43">
        <f>B2/'STATE TOTALS'!$B$2</f>
        <v>0.34317362052646389</v>
      </c>
      <c r="C3" s="43">
        <f>C2/'STATE TOTALS'!$C$2</f>
        <v>0.33026568260107575</v>
      </c>
      <c r="D3" s="43">
        <f>D2/'STATE TOTALS'!$D$2</f>
        <v>0.27448418640644001</v>
      </c>
      <c r="E3" s="43">
        <f>E2/'STATE TOTALS'!$E$2</f>
        <v>0.31716742795367997</v>
      </c>
      <c r="F3" s="43">
        <f>F2/'STATE TOTALS'!$F$2</f>
        <v>0.74744090824492837</v>
      </c>
      <c r="G3" s="37" t="s">
        <v>40</v>
      </c>
      <c r="H3" s="37"/>
      <c r="I3" s="251"/>
    </row>
    <row r="4" spans="1:9" x14ac:dyDescent="0.2">
      <c r="A4" s="37" t="s">
        <v>29</v>
      </c>
      <c r="B4" s="139">
        <v>15786</v>
      </c>
      <c r="C4" s="40">
        <v>18388</v>
      </c>
      <c r="D4" s="40">
        <f>C4-B4</f>
        <v>2602</v>
      </c>
      <c r="E4" s="40">
        <f>E5-E2</f>
        <v>21799</v>
      </c>
      <c r="F4" s="40">
        <f>E4-C4</f>
        <v>3411</v>
      </c>
      <c r="G4" s="166" t="s">
        <v>188</v>
      </c>
      <c r="H4" s="166" t="s">
        <v>34</v>
      </c>
      <c r="I4" s="251"/>
    </row>
    <row r="5" spans="1:9" x14ac:dyDescent="0.2">
      <c r="A5" s="37" t="s">
        <v>30</v>
      </c>
      <c r="B5" s="139">
        <v>163351</v>
      </c>
      <c r="C5" s="40">
        <v>193265</v>
      </c>
      <c r="D5" s="40">
        <f>C5-B5</f>
        <v>29914</v>
      </c>
      <c r="E5" s="217">
        <v>184628</v>
      </c>
      <c r="F5" s="70">
        <f>E5-C5</f>
        <v>-8637</v>
      </c>
      <c r="G5" s="217">
        <v>211460</v>
      </c>
      <c r="H5" s="194">
        <f>(E5-B5)/('STATE TOTALS'!E5-'STATE TOTALS'!B5)*('STATE TOTALS'!G5-'STATE TOTALS'!E5)+E5</f>
        <v>196822.4345660909</v>
      </c>
      <c r="I5" s="251"/>
    </row>
    <row r="6" spans="1:9" x14ac:dyDescent="0.2">
      <c r="A6" s="37" t="s">
        <v>33</v>
      </c>
      <c r="B6" s="43">
        <f>B5/'STATE TOTALS'!$B$5</f>
        <v>0.32971426956676192</v>
      </c>
      <c r="C6" s="43">
        <f>C5/'STATE TOTALS'!$C$5</f>
        <v>0.31898178025057727</v>
      </c>
      <c r="D6" s="43">
        <f>D5/'STATE TOTALS'!$D$5</f>
        <v>0.27083993517370009</v>
      </c>
      <c r="E6" s="43">
        <f>E5/'STATE TOTALS'!$E$5</f>
        <v>0.30748067295746218</v>
      </c>
      <c r="F6" s="43">
        <f>F5/'STATE TOTALS'!$F$5</f>
        <v>1.5914870093974571</v>
      </c>
      <c r="G6" s="37"/>
      <c r="H6" s="37"/>
      <c r="I6" s="251"/>
    </row>
    <row r="7" spans="1:9" x14ac:dyDescent="0.2">
      <c r="A7" s="37"/>
      <c r="B7" s="41"/>
      <c r="C7" s="41"/>
      <c r="D7" s="41"/>
      <c r="E7" s="141"/>
      <c r="F7" s="37"/>
      <c r="G7" s="37"/>
      <c r="H7" s="37"/>
      <c r="I7" s="251"/>
    </row>
    <row r="8" spans="1:9" x14ac:dyDescent="0.2">
      <c r="A8" s="37" t="s">
        <v>92</v>
      </c>
      <c r="B8" s="139">
        <v>198164</v>
      </c>
      <c r="C8" s="40">
        <v>214534</v>
      </c>
      <c r="D8" s="40">
        <f>C8-B8</f>
        <v>16370</v>
      </c>
      <c r="E8" s="217">
        <v>228680</v>
      </c>
      <c r="F8" s="70">
        <f>E8-C8</f>
        <v>14146</v>
      </c>
      <c r="G8" s="40">
        <f>G5*G9</f>
        <v>234731.37733164307</v>
      </c>
      <c r="H8" s="40">
        <f>H5*H9</f>
        <v>218482.93367760195</v>
      </c>
      <c r="I8" s="251"/>
    </row>
    <row r="9" spans="1:9" x14ac:dyDescent="0.2">
      <c r="A9" s="37" t="s">
        <v>173</v>
      </c>
      <c r="B9" s="191">
        <f>B8/B5</f>
        <v>1.2131177648131937</v>
      </c>
      <c r="C9" s="191">
        <f>C8/C5</f>
        <v>1.1100509662898093</v>
      </c>
      <c r="D9" s="191"/>
      <c r="E9" s="198">
        <f>E8/E5</f>
        <v>1.23859869575579</v>
      </c>
      <c r="F9" s="199" t="s">
        <v>45</v>
      </c>
      <c r="G9" s="200">
        <f>+C9</f>
        <v>1.1100509662898093</v>
      </c>
      <c r="H9" s="201">
        <f>G9</f>
        <v>1.1100509662898093</v>
      </c>
      <c r="I9" s="251"/>
    </row>
    <row r="10" spans="1:9" x14ac:dyDescent="0.2">
      <c r="A10" s="37"/>
      <c r="B10" s="41"/>
      <c r="C10" s="41"/>
      <c r="D10" s="41"/>
      <c r="E10" s="141"/>
      <c r="F10" s="37"/>
      <c r="G10" s="37" t="s">
        <v>226</v>
      </c>
      <c r="H10" s="37"/>
      <c r="I10" s="251"/>
    </row>
    <row r="11" spans="1:9" x14ac:dyDescent="0.2">
      <c r="A11" s="37" t="s">
        <v>123</v>
      </c>
      <c r="B11" s="149">
        <f>B13/B8</f>
        <v>0.89347711996124424</v>
      </c>
      <c r="C11" s="149">
        <f>C13/C8</f>
        <v>0.92697660976814866</v>
      </c>
      <c r="D11" s="41"/>
      <c r="E11" s="200">
        <f>E13/E8</f>
        <v>0.91293073290187166</v>
      </c>
      <c r="F11" s="202" t="s">
        <v>45</v>
      </c>
      <c r="G11" s="200">
        <f>E11</f>
        <v>0.91293073290187166</v>
      </c>
      <c r="H11" s="201">
        <f>G11</f>
        <v>0.91293073290187166</v>
      </c>
      <c r="I11" s="251"/>
    </row>
    <row r="12" spans="1:9" x14ac:dyDescent="0.2">
      <c r="A12" s="37"/>
      <c r="B12" s="41"/>
      <c r="C12" s="41"/>
      <c r="D12" s="41"/>
      <c r="E12" s="141"/>
      <c r="F12" s="37"/>
      <c r="G12" s="37"/>
      <c r="H12" s="37"/>
      <c r="I12" s="251"/>
    </row>
    <row r="13" spans="1:9" x14ac:dyDescent="0.2">
      <c r="A13" s="37" t="s">
        <v>124</v>
      </c>
      <c r="B13" s="139">
        <v>177055</v>
      </c>
      <c r="C13" s="139">
        <v>198868</v>
      </c>
      <c r="D13" s="40">
        <f>C13-B13</f>
        <v>21813</v>
      </c>
      <c r="E13" s="217">
        <v>208769</v>
      </c>
      <c r="F13" s="70">
        <f>E13-C13</f>
        <v>9901</v>
      </c>
      <c r="G13" s="40">
        <f>G11*G8</f>
        <v>214293.4883424427</v>
      </c>
      <c r="H13" s="40">
        <f>H11*H8</f>
        <v>199459.78476884417</v>
      </c>
      <c r="I13" s="251"/>
    </row>
    <row r="14" spans="1:9" x14ac:dyDescent="0.2">
      <c r="A14" s="37" t="s">
        <v>25</v>
      </c>
      <c r="B14" s="139">
        <v>132289</v>
      </c>
      <c r="C14" s="139">
        <v>142472</v>
      </c>
      <c r="D14" s="40">
        <f>C14-B14</f>
        <v>10183</v>
      </c>
      <c r="E14" s="40">
        <v>142912</v>
      </c>
      <c r="F14" s="70">
        <f>E14-C14</f>
        <v>440</v>
      </c>
      <c r="G14" s="40">
        <f>G13-G15</f>
        <v>146693.76682359533</v>
      </c>
      <c r="H14" s="40">
        <f>H13-H15</f>
        <v>136539.413231299</v>
      </c>
      <c r="I14" s="251"/>
    </row>
    <row r="15" spans="1:9" x14ac:dyDescent="0.2">
      <c r="A15" s="37" t="s">
        <v>26</v>
      </c>
      <c r="B15" s="139">
        <f>B13-B14</f>
        <v>44766</v>
      </c>
      <c r="C15" s="139">
        <f>C13-C14</f>
        <v>56396</v>
      </c>
      <c r="D15" s="40">
        <f>C15-B15</f>
        <v>11630</v>
      </c>
      <c r="E15" s="139">
        <f>E13-E14</f>
        <v>65857</v>
      </c>
      <c r="F15" s="70">
        <f>E15-C15</f>
        <v>9461</v>
      </c>
      <c r="G15" s="40">
        <f>G16*G13</f>
        <v>67599.721518847378</v>
      </c>
      <c r="H15" s="40">
        <f>H16*H13</f>
        <v>62920.371537545179</v>
      </c>
      <c r="I15" s="251"/>
    </row>
    <row r="16" spans="1:9" x14ac:dyDescent="0.2">
      <c r="A16" s="37" t="s">
        <v>27</v>
      </c>
      <c r="B16" s="43">
        <f>B15/B13</f>
        <v>0.25283668916438395</v>
      </c>
      <c r="C16" s="43">
        <f>C15/C13</f>
        <v>0.28358509161856105</v>
      </c>
      <c r="D16" s="37"/>
      <c r="E16" s="204">
        <f>E15/E13</f>
        <v>0.31545392275673112</v>
      </c>
      <c r="F16" s="202" t="s">
        <v>45</v>
      </c>
      <c r="G16" s="203">
        <f>E16</f>
        <v>0.31545392275673112</v>
      </c>
      <c r="H16" s="204">
        <f>G16</f>
        <v>0.31545392275673112</v>
      </c>
      <c r="I16" s="251"/>
    </row>
    <row r="17" spans="1:9" x14ac:dyDescent="0.2">
      <c r="A17" s="37"/>
      <c r="B17" s="41"/>
      <c r="C17" s="41"/>
      <c r="D17" s="41"/>
      <c r="E17" s="141"/>
      <c r="F17" s="37"/>
      <c r="G17" s="37"/>
      <c r="H17" s="37"/>
      <c r="I17" s="251"/>
    </row>
    <row r="18" spans="1:9" x14ac:dyDescent="0.2">
      <c r="A18" s="37" t="s">
        <v>31</v>
      </c>
      <c r="B18" s="41">
        <f>B2/B55</f>
        <v>1.1846235359284563</v>
      </c>
      <c r="C18" s="41">
        <f>C2/C55</f>
        <v>1.2105984562666574</v>
      </c>
      <c r="D18" s="41"/>
      <c r="E18" s="41">
        <f>E2/E55</f>
        <v>1.0473608377394414</v>
      </c>
      <c r="F18" s="37"/>
      <c r="G18" s="41"/>
      <c r="H18" s="41"/>
      <c r="I18" s="251"/>
    </row>
    <row r="19" spans="1:9" x14ac:dyDescent="0.2">
      <c r="A19" s="37"/>
      <c r="B19" s="40"/>
      <c r="C19" s="40"/>
      <c r="D19" s="37"/>
      <c r="E19" s="37"/>
      <c r="F19" s="37"/>
      <c r="G19" s="37"/>
      <c r="H19" s="37"/>
      <c r="I19" s="251"/>
    </row>
    <row r="20" spans="1:9" x14ac:dyDescent="0.2">
      <c r="A20" s="37" t="s">
        <v>128</v>
      </c>
      <c r="B20" s="41">
        <f>B24/B8</f>
        <v>1.52219373851961</v>
      </c>
      <c r="C20" s="41">
        <f>C24/C8</f>
        <v>1.5862986752682557</v>
      </c>
      <c r="D20" s="37"/>
      <c r="E20" s="41">
        <f>E24/E8</f>
        <v>1.5444901171943326</v>
      </c>
      <c r="F20" s="140" t="s">
        <v>46</v>
      </c>
      <c r="G20" s="205">
        <f>+E20</f>
        <v>1.5444901171943326</v>
      </c>
      <c r="H20" s="41">
        <f>H24/H8</f>
        <v>1.5849038660106045</v>
      </c>
      <c r="I20" s="251"/>
    </row>
    <row r="21" spans="1:9" x14ac:dyDescent="0.2">
      <c r="A21" s="37" t="s">
        <v>94</v>
      </c>
      <c r="B21" s="41">
        <f>B29/B8</f>
        <v>0.52213822894168471</v>
      </c>
      <c r="C21" s="41">
        <f>C29/C8</f>
        <v>0.55758527785805512</v>
      </c>
      <c r="D21" s="37"/>
      <c r="E21" s="205">
        <f>E29/E8</f>
        <v>0.54982945600839606</v>
      </c>
      <c r="F21" s="202" t="s">
        <v>45</v>
      </c>
      <c r="G21" s="205">
        <f>AVERAGE(B21:E21)</f>
        <v>0.5431843209360453</v>
      </c>
      <c r="H21" s="206">
        <f>G21</f>
        <v>0.5431843209360453</v>
      </c>
      <c r="I21" s="252"/>
    </row>
    <row r="22" spans="1:9" x14ac:dyDescent="0.2">
      <c r="A22" s="37"/>
      <c r="B22" s="37"/>
      <c r="C22" s="37"/>
      <c r="D22" s="37"/>
      <c r="E22" s="37"/>
      <c r="F22" s="37"/>
      <c r="G22" s="37"/>
      <c r="H22" s="37"/>
      <c r="I22" s="161"/>
    </row>
    <row r="23" spans="1:9" x14ac:dyDescent="0.2">
      <c r="A23" s="64" t="s">
        <v>98</v>
      </c>
      <c r="B23" s="41"/>
      <c r="C23" s="41"/>
      <c r="D23" s="37"/>
      <c r="E23" s="37"/>
      <c r="F23" s="37"/>
      <c r="G23" s="37"/>
      <c r="H23" s="37"/>
      <c r="I23" s="159"/>
    </row>
    <row r="24" spans="1:9" x14ac:dyDescent="0.2">
      <c r="A24" s="37" t="s">
        <v>99</v>
      </c>
      <c r="B24" s="40">
        <v>301644</v>
      </c>
      <c r="C24" s="40">
        <v>340315</v>
      </c>
      <c r="D24" s="40">
        <f>C24-B24</f>
        <v>38671</v>
      </c>
      <c r="E24" s="217">
        <f>347786+5408</f>
        <v>353194</v>
      </c>
      <c r="F24" s="70">
        <f>E24-C24</f>
        <v>12879</v>
      </c>
      <c r="G24" s="40">
        <f>+G20*G8</f>
        <v>362540.29248413653</v>
      </c>
      <c r="H24" s="40">
        <f>H25+H26</f>
        <v>346274.44624296983</v>
      </c>
      <c r="I24" s="217">
        <f>338441+5351</f>
        <v>343792</v>
      </c>
    </row>
    <row r="25" spans="1:9" x14ac:dyDescent="0.2">
      <c r="A25" s="37" t="s">
        <v>97</v>
      </c>
      <c r="B25" s="40">
        <v>4245</v>
      </c>
      <c r="C25" s="40">
        <v>4528</v>
      </c>
      <c r="D25" s="40">
        <f>C25-B25</f>
        <v>283</v>
      </c>
      <c r="E25" s="217">
        <v>5408</v>
      </c>
      <c r="F25" s="70">
        <f>E25-C25</f>
        <v>880</v>
      </c>
      <c r="G25" s="207">
        <f>I25</f>
        <v>5351</v>
      </c>
      <c r="H25" s="207">
        <f>I25</f>
        <v>5351</v>
      </c>
      <c r="I25" s="217">
        <v>5351</v>
      </c>
    </row>
    <row r="26" spans="1:9" x14ac:dyDescent="0.2">
      <c r="A26" s="37" t="s">
        <v>95</v>
      </c>
      <c r="B26" s="40">
        <f>B24-B25</f>
        <v>297399</v>
      </c>
      <c r="C26" s="40">
        <f>C24-C25</f>
        <v>335787</v>
      </c>
      <c r="D26" s="40">
        <f>C26-B26</f>
        <v>38388</v>
      </c>
      <c r="E26" s="40">
        <f>E24-E25</f>
        <v>347786</v>
      </c>
      <c r="F26" s="70">
        <f>E26-C26</f>
        <v>11999</v>
      </c>
      <c r="G26" s="40">
        <f>G24-G25</f>
        <v>357189.29248413653</v>
      </c>
      <c r="H26" s="154">
        <f>H29*H27</f>
        <v>340923.44624296983</v>
      </c>
      <c r="I26" s="154">
        <f>I24-I25</f>
        <v>338441</v>
      </c>
    </row>
    <row r="27" spans="1:9" x14ac:dyDescent="0.2">
      <c r="A27" s="37" t="s">
        <v>111</v>
      </c>
      <c r="B27" s="142">
        <f>B26/B29</f>
        <v>2.8742811856691377</v>
      </c>
      <c r="C27" s="142">
        <f>C26/C29</f>
        <v>2.8070907282166173</v>
      </c>
      <c r="D27" s="41"/>
      <c r="E27" s="142">
        <f>E26/E29</f>
        <v>2.7660237801725853</v>
      </c>
      <c r="F27" s="37"/>
      <c r="G27" s="142">
        <f>G26/G29</f>
        <v>2.8014318306442765</v>
      </c>
      <c r="H27" s="208">
        <f>I27</f>
        <v>2.6933287707207603</v>
      </c>
      <c r="I27" s="208">
        <f>I26/I29</f>
        <v>2.6933287707207603</v>
      </c>
    </row>
    <row r="28" spans="1:9" x14ac:dyDescent="0.2">
      <c r="A28" s="37"/>
      <c r="B28" s="40"/>
      <c r="C28" s="40"/>
      <c r="D28" s="37"/>
      <c r="E28" s="37"/>
      <c r="F28" s="37"/>
      <c r="G28" s="159"/>
      <c r="H28" s="159"/>
      <c r="I28" s="159"/>
    </row>
    <row r="29" spans="1:9" x14ac:dyDescent="0.2">
      <c r="A29" s="37" t="s">
        <v>100</v>
      </c>
      <c r="B29" s="40">
        <v>103469</v>
      </c>
      <c r="C29" s="40">
        <v>119621</v>
      </c>
      <c r="D29" s="40">
        <f>C29-B29</f>
        <v>16152</v>
      </c>
      <c r="E29" s="217">
        <v>125735</v>
      </c>
      <c r="F29" s="70">
        <f>E29-C29</f>
        <v>6114</v>
      </c>
      <c r="G29" s="154">
        <f>G8*G21</f>
        <v>127502.40379827116</v>
      </c>
      <c r="H29" s="223">
        <f>+AVERAGE(G29,I29)</f>
        <v>126580.70189913557</v>
      </c>
      <c r="I29" s="217">
        <v>125659</v>
      </c>
    </row>
    <row r="30" spans="1:9" x14ac:dyDescent="0.2">
      <c r="A30" s="37" t="s">
        <v>101</v>
      </c>
      <c r="B30" s="40">
        <v>65475</v>
      </c>
      <c r="C30" s="40">
        <v>76605</v>
      </c>
      <c r="D30" s="40">
        <f>C30-B30</f>
        <v>11130</v>
      </c>
      <c r="E30" s="217">
        <v>82453</v>
      </c>
      <c r="F30" s="70">
        <f>E30-C30</f>
        <v>5848</v>
      </c>
      <c r="G30" s="154">
        <f>G29*G32</f>
        <v>83406.336019991533</v>
      </c>
      <c r="H30" s="154">
        <f>H29*H32</f>
        <v>82803.400106475761</v>
      </c>
      <c r="I30" s="217">
        <v>82200.464192960004</v>
      </c>
    </row>
    <row r="31" spans="1:9" x14ac:dyDescent="0.2">
      <c r="A31" s="37" t="s">
        <v>102</v>
      </c>
      <c r="B31" s="40">
        <v>37994</v>
      </c>
      <c r="C31" s="40">
        <v>43016</v>
      </c>
      <c r="D31" s="40">
        <f>C31-B31</f>
        <v>5022</v>
      </c>
      <c r="E31" s="217">
        <v>43282</v>
      </c>
      <c r="F31" s="70">
        <f>E31-C31</f>
        <v>266</v>
      </c>
      <c r="G31" s="154">
        <f>G29-G30</f>
        <v>44096.067778279627</v>
      </c>
      <c r="H31" s="154">
        <f>H29-H30</f>
        <v>43777.301792659811</v>
      </c>
      <c r="I31" s="217">
        <v>43458.606891879266</v>
      </c>
    </row>
    <row r="32" spans="1:9" x14ac:dyDescent="0.2">
      <c r="A32" s="37" t="s">
        <v>103</v>
      </c>
      <c r="B32" s="43">
        <f>B30/B29</f>
        <v>0.63279822942137254</v>
      </c>
      <c r="C32" s="43">
        <f>C30/C29</f>
        <v>0.64039758905208954</v>
      </c>
      <c r="D32" s="42"/>
      <c r="E32" s="43">
        <f>E30/E29</f>
        <v>0.65576808366803196</v>
      </c>
      <c r="F32" s="37"/>
      <c r="G32" s="203">
        <f>H32</f>
        <v>0.65415500833971307</v>
      </c>
      <c r="H32" s="203">
        <f>I32</f>
        <v>0.65415500833971307</v>
      </c>
      <c r="I32" s="203">
        <f>I30/I29</f>
        <v>0.65415500833971307</v>
      </c>
    </row>
    <row r="33" spans="1:9" x14ac:dyDescent="0.2">
      <c r="A33" s="37" t="s">
        <v>104</v>
      </c>
      <c r="B33" s="43">
        <f>B31/B29</f>
        <v>0.36720177057862741</v>
      </c>
      <c r="C33" s="43">
        <f>C31/C29</f>
        <v>0.35960241094791051</v>
      </c>
      <c r="D33" s="42"/>
      <c r="E33" s="43">
        <f>E31/E29</f>
        <v>0.34423191633196804</v>
      </c>
      <c r="F33" s="37"/>
      <c r="G33" s="203">
        <f>1-G32</f>
        <v>0.34584499166028693</v>
      </c>
      <c r="H33" s="203">
        <f>1-H32</f>
        <v>0.34584499166028693</v>
      </c>
      <c r="I33" s="203">
        <f>I31/I29</f>
        <v>0.34584555735664985</v>
      </c>
    </row>
    <row r="34" spans="1:9" x14ac:dyDescent="0.2">
      <c r="A34" s="37"/>
      <c r="B34" s="40"/>
      <c r="C34" s="40"/>
      <c r="D34" s="37"/>
      <c r="E34" s="37"/>
      <c r="F34" s="37"/>
      <c r="G34" s="159"/>
      <c r="H34" s="159"/>
      <c r="I34" s="159"/>
    </row>
    <row r="35" spans="1:9" x14ac:dyDescent="0.2">
      <c r="A35" s="64" t="s">
        <v>171</v>
      </c>
      <c r="B35" s="43"/>
      <c r="C35" s="43"/>
      <c r="D35" s="37"/>
      <c r="E35" s="37"/>
      <c r="F35" s="37"/>
      <c r="G35" s="154"/>
      <c r="H35" s="154"/>
      <c r="I35" s="154"/>
    </row>
    <row r="36" spans="1:9" x14ac:dyDescent="0.2">
      <c r="A36" s="37" t="s">
        <v>105</v>
      </c>
      <c r="B36" s="40">
        <v>34429</v>
      </c>
      <c r="C36" s="40">
        <v>40526</v>
      </c>
      <c r="D36" s="40">
        <f>C36-B36</f>
        <v>6097</v>
      </c>
      <c r="E36" s="217">
        <f>45176+2351</f>
        <v>47527</v>
      </c>
      <c r="F36" s="70">
        <f>E36-C36</f>
        <v>7001</v>
      </c>
      <c r="G36" s="210">
        <f>I36</f>
        <v>70564</v>
      </c>
      <c r="H36" s="210">
        <f>I36</f>
        <v>70564</v>
      </c>
      <c r="I36" s="217">
        <f>67700+2864</f>
        <v>70564</v>
      </c>
    </row>
    <row r="37" spans="1:9" x14ac:dyDescent="0.2">
      <c r="A37" s="37" t="s">
        <v>106</v>
      </c>
      <c r="B37" s="43">
        <f>B36/B50</f>
        <v>0.10244500450794916</v>
      </c>
      <c r="C37" s="43">
        <f>C36/C50</f>
        <v>0.10641186216820142</v>
      </c>
      <c r="D37" s="43"/>
      <c r="E37" s="43">
        <f>E36/E50</f>
        <v>0.11860371680046716</v>
      </c>
      <c r="F37" s="43"/>
      <c r="G37" s="195">
        <f>G36/G50</f>
        <v>0.1629261155442937</v>
      </c>
      <c r="H37" s="195">
        <f>H36/H50</f>
        <v>0.16928380919755454</v>
      </c>
      <c r="I37" s="195">
        <f>I36/I50</f>
        <v>0.17029800461438957</v>
      </c>
    </row>
    <row r="38" spans="1:9" x14ac:dyDescent="0.2">
      <c r="A38" s="37" t="s">
        <v>107</v>
      </c>
      <c r="B38" s="70">
        <v>2509</v>
      </c>
      <c r="C38" s="70">
        <v>3141</v>
      </c>
      <c r="D38" s="40">
        <f>C38-B38</f>
        <v>632</v>
      </c>
      <c r="E38" s="217">
        <v>2351</v>
      </c>
      <c r="F38" s="70">
        <f>E38-C38</f>
        <v>-790</v>
      </c>
      <c r="G38" s="154">
        <f>I38</f>
        <v>2864</v>
      </c>
      <c r="H38" s="154">
        <f>I38</f>
        <v>2864</v>
      </c>
      <c r="I38" s="217">
        <v>2864</v>
      </c>
    </row>
    <row r="39" spans="1:9" x14ac:dyDescent="0.2">
      <c r="A39" s="37" t="s">
        <v>108</v>
      </c>
      <c r="B39" s="40">
        <f>B36-B38</f>
        <v>31920</v>
      </c>
      <c r="C39" s="40">
        <f>C36-C38</f>
        <v>37385</v>
      </c>
      <c r="D39" s="40">
        <f>C39-B39</f>
        <v>5465</v>
      </c>
      <c r="E39" s="40">
        <f>E36-E38</f>
        <v>45176</v>
      </c>
      <c r="F39" s="70">
        <f>E39-C39</f>
        <v>7791</v>
      </c>
      <c r="G39" s="154">
        <f>G36-G38</f>
        <v>67700</v>
      </c>
      <c r="H39" s="154">
        <f>H36-H38</f>
        <v>67700</v>
      </c>
      <c r="I39" s="154">
        <f>I36-I38</f>
        <v>67700</v>
      </c>
    </row>
    <row r="40" spans="1:9" x14ac:dyDescent="0.2">
      <c r="A40" s="37"/>
      <c r="B40" s="40"/>
      <c r="C40" s="40"/>
      <c r="D40" s="40"/>
      <c r="E40" s="40"/>
      <c r="F40" s="70"/>
      <c r="G40" s="154"/>
      <c r="H40" s="154"/>
      <c r="I40" s="154"/>
    </row>
    <row r="41" spans="1:9" x14ac:dyDescent="0.2">
      <c r="A41" s="37" t="s">
        <v>109</v>
      </c>
      <c r="B41" s="40">
        <v>21098</v>
      </c>
      <c r="C41" s="40">
        <v>24834</v>
      </c>
      <c r="D41" s="40">
        <f>C41-B41</f>
        <v>3736</v>
      </c>
      <c r="E41" s="217">
        <v>29731</v>
      </c>
      <c r="F41" s="70">
        <f>E41-C41</f>
        <v>4897</v>
      </c>
      <c r="G41" s="207">
        <f>G39/G43</f>
        <v>44131</v>
      </c>
      <c r="H41" s="207">
        <f>H39/H43</f>
        <v>44131</v>
      </c>
      <c r="I41" s="217">
        <v>44131</v>
      </c>
    </row>
    <row r="42" spans="1:9" x14ac:dyDescent="0.2">
      <c r="A42" s="37" t="s">
        <v>110</v>
      </c>
      <c r="B42" s="43">
        <f>B41/B55</f>
        <v>0.16937070010516428</v>
      </c>
      <c r="C42" s="43">
        <f>C41/C55</f>
        <v>0.17191512927901423</v>
      </c>
      <c r="D42" s="42"/>
      <c r="E42" s="43">
        <f>E41/E55</f>
        <v>0.19123795556584719</v>
      </c>
      <c r="F42" s="37"/>
      <c r="G42" s="43">
        <f>G41/G55</f>
        <v>0.25712360777899185</v>
      </c>
      <c r="H42" s="43">
        <f>H41/H55</f>
        <v>0.25851186245026514</v>
      </c>
      <c r="I42" s="195">
        <f>I41/I55</f>
        <v>0.25991518935155189</v>
      </c>
    </row>
    <row r="43" spans="1:9" x14ac:dyDescent="0.2">
      <c r="A43" s="37" t="s">
        <v>112</v>
      </c>
      <c r="B43" s="142">
        <f>B39/B41</f>
        <v>1.5129396151293961</v>
      </c>
      <c r="C43" s="142">
        <f>C39/C41</f>
        <v>1.5053958282999114</v>
      </c>
      <c r="D43" s="37"/>
      <c r="E43" s="142">
        <f>E39/E41</f>
        <v>1.5194914399112038</v>
      </c>
      <c r="F43" s="37"/>
      <c r="G43" s="209">
        <f>H43</f>
        <v>1.5340690217760757</v>
      </c>
      <c r="H43" s="209">
        <f>I43</f>
        <v>1.5340690217760757</v>
      </c>
      <c r="I43" s="209">
        <f>I39/I41</f>
        <v>1.5340690217760757</v>
      </c>
    </row>
    <row r="44" spans="1:9" x14ac:dyDescent="0.2">
      <c r="A44" s="37"/>
      <c r="B44" s="142"/>
      <c r="C44" s="142"/>
      <c r="D44" s="42"/>
      <c r="E44" s="42"/>
      <c r="F44" s="37"/>
      <c r="G44" s="37"/>
      <c r="H44" s="37"/>
      <c r="I44" s="37"/>
    </row>
    <row r="45" spans="1:9" x14ac:dyDescent="0.2">
      <c r="A45" s="37" t="s">
        <v>113</v>
      </c>
      <c r="B45" s="40">
        <v>13888</v>
      </c>
      <c r="C45" s="40">
        <v>17143</v>
      </c>
      <c r="D45" s="40">
        <f>C45-B45</f>
        <v>3255</v>
      </c>
      <c r="E45" s="217">
        <v>21498</v>
      </c>
      <c r="F45" s="70">
        <f>E45-C45</f>
        <v>4355</v>
      </c>
      <c r="G45" s="207">
        <f>G47*G41</f>
        <v>32219.805051107523</v>
      </c>
      <c r="H45" s="207">
        <f>H47*H41</f>
        <v>32219.805051107523</v>
      </c>
      <c r="I45" s="217">
        <v>32219.80505110752</v>
      </c>
    </row>
    <row r="46" spans="1:9" x14ac:dyDescent="0.2">
      <c r="A46" s="37" t="s">
        <v>114</v>
      </c>
      <c r="B46" s="40">
        <v>7210</v>
      </c>
      <c r="C46" s="40">
        <v>7691</v>
      </c>
      <c r="D46" s="40">
        <f>C46-B46</f>
        <v>481</v>
      </c>
      <c r="E46" s="217">
        <v>8233</v>
      </c>
      <c r="F46" s="70">
        <f>E46-C46</f>
        <v>542</v>
      </c>
      <c r="G46" s="40">
        <f>G41-G45</f>
        <v>11911.194948892477</v>
      </c>
      <c r="H46" s="40">
        <f>H41-H45</f>
        <v>11911.194948892477</v>
      </c>
      <c r="I46" s="217">
        <v>11911.055099701309</v>
      </c>
    </row>
    <row r="47" spans="1:9" x14ac:dyDescent="0.2">
      <c r="A47" s="37" t="s">
        <v>115</v>
      </c>
      <c r="B47" s="43">
        <f>B45/B41</f>
        <v>0.65826144658261443</v>
      </c>
      <c r="C47" s="43">
        <f>C45/C41</f>
        <v>0.69030361601030843</v>
      </c>
      <c r="D47" s="37"/>
      <c r="E47" s="43">
        <f>E45/E41</f>
        <v>0.72308365006222464</v>
      </c>
      <c r="F47" s="37"/>
      <c r="G47" s="211">
        <f>H47</f>
        <v>0.73009460585773089</v>
      </c>
      <c r="H47" s="211">
        <f>I47</f>
        <v>0.73009460585773089</v>
      </c>
      <c r="I47" s="211">
        <f>I45/I41</f>
        <v>0.73009460585773089</v>
      </c>
    </row>
    <row r="48" spans="1:9" x14ac:dyDescent="0.2">
      <c r="A48" s="37" t="s">
        <v>116</v>
      </c>
      <c r="B48" s="43">
        <f>1-B47</f>
        <v>0.34173855341738557</v>
      </c>
      <c r="C48" s="43">
        <f>1-C47</f>
        <v>0.30969638398969157</v>
      </c>
      <c r="D48" s="37"/>
      <c r="E48" s="43">
        <f>1-E47</f>
        <v>0.27691634993777536</v>
      </c>
      <c r="F48" s="37"/>
      <c r="G48" s="211">
        <f>1-G47</f>
        <v>0.26990539414226911</v>
      </c>
      <c r="H48" s="211">
        <f>1-H47</f>
        <v>0.26990539414226911</v>
      </c>
      <c r="I48" s="211">
        <f>1-I47</f>
        <v>0.26990539414226911</v>
      </c>
    </row>
    <row r="49" spans="1:10" x14ac:dyDescent="0.2">
      <c r="A49" s="37"/>
      <c r="B49" s="43"/>
      <c r="C49" s="43"/>
      <c r="D49" s="37"/>
      <c r="E49" s="37"/>
      <c r="F49" s="37"/>
      <c r="G49" s="37"/>
      <c r="H49" s="37"/>
      <c r="I49" s="37"/>
    </row>
    <row r="50" spans="1:10" x14ac:dyDescent="0.2">
      <c r="A50" s="64" t="s">
        <v>129</v>
      </c>
      <c r="B50" s="40">
        <f>B24+B36</f>
        <v>336073</v>
      </c>
      <c r="C50" s="40">
        <f>C24+C36</f>
        <v>380841</v>
      </c>
      <c r="D50" s="40">
        <f>C50-B50</f>
        <v>44768</v>
      </c>
      <c r="E50" s="40">
        <f>E24+E36</f>
        <v>400721</v>
      </c>
      <c r="F50" s="70">
        <f>E50-C50</f>
        <v>19880</v>
      </c>
      <c r="G50" s="40">
        <f>G24+I36</f>
        <v>433104.29248413653</v>
      </c>
      <c r="H50" s="40">
        <f>H24+I36</f>
        <v>416838.44624296983</v>
      </c>
      <c r="I50" s="40">
        <f>I24+I36</f>
        <v>414356</v>
      </c>
      <c r="J50" s="31"/>
    </row>
    <row r="51" spans="1:10" x14ac:dyDescent="0.2">
      <c r="A51" s="37" t="s">
        <v>96</v>
      </c>
      <c r="B51" s="40">
        <f>B25+B38</f>
        <v>6754</v>
      </c>
      <c r="C51" s="40">
        <f>C25+C38</f>
        <v>7669</v>
      </c>
      <c r="D51" s="40">
        <f>C51-B51</f>
        <v>915</v>
      </c>
      <c r="E51" s="40">
        <f>E25+E38</f>
        <v>7759</v>
      </c>
      <c r="F51" s="70">
        <f>E51-C51</f>
        <v>90</v>
      </c>
      <c r="G51" s="212">
        <f>G25+G38</f>
        <v>8215</v>
      </c>
      <c r="H51" s="212">
        <f>H25+H38</f>
        <v>8215</v>
      </c>
      <c r="I51" s="212">
        <f>I25+I38</f>
        <v>8215</v>
      </c>
    </row>
    <row r="52" spans="1:10" x14ac:dyDescent="0.2">
      <c r="A52" s="37" t="s">
        <v>95</v>
      </c>
      <c r="B52" s="40">
        <f>B50-B51</f>
        <v>329319</v>
      </c>
      <c r="C52" s="40">
        <f>C50-C51</f>
        <v>373172</v>
      </c>
      <c r="D52" s="40">
        <f>C52-B52</f>
        <v>43853</v>
      </c>
      <c r="E52" s="40">
        <f>E50-E51</f>
        <v>392962</v>
      </c>
      <c r="F52" s="70">
        <f>E52-C52</f>
        <v>19790</v>
      </c>
      <c r="G52" s="40">
        <f>G50-G51</f>
        <v>424889.29248413653</v>
      </c>
      <c r="H52" s="40">
        <f>H50-H51</f>
        <v>408623.44624296983</v>
      </c>
      <c r="I52" s="40">
        <f>I50-I51</f>
        <v>406141</v>
      </c>
    </row>
    <row r="53" spans="1:10" x14ac:dyDescent="0.2">
      <c r="A53" s="37" t="s">
        <v>126</v>
      </c>
      <c r="B53" s="142">
        <f>B52/B55</f>
        <v>2.6437098107845576</v>
      </c>
      <c r="C53" s="142">
        <f>C52/C55</f>
        <v>2.5833096812156033</v>
      </c>
      <c r="D53" s="37"/>
      <c r="E53" s="142">
        <f>E52/E55</f>
        <v>2.5276394838742875</v>
      </c>
      <c r="F53" s="37"/>
      <c r="G53" s="142">
        <f>G52/G55</f>
        <v>2.4755629328631681</v>
      </c>
      <c r="H53" s="142">
        <f>H52/H55</f>
        <v>2.3936463739574432</v>
      </c>
      <c r="I53" s="142">
        <f>I52/I55</f>
        <v>2.3920195535661701</v>
      </c>
    </row>
    <row r="54" spans="1:10" x14ac:dyDescent="0.2">
      <c r="A54" s="37"/>
      <c r="B54" s="43"/>
      <c r="C54" s="43"/>
      <c r="D54" s="37"/>
      <c r="E54" s="37"/>
      <c r="F54" s="37"/>
      <c r="G54" s="37"/>
      <c r="H54" s="37"/>
      <c r="I54" s="37"/>
    </row>
    <row r="55" spans="1:10" x14ac:dyDescent="0.2">
      <c r="A55" s="64" t="s">
        <v>58</v>
      </c>
      <c r="B55" s="40">
        <f>B29+B41</f>
        <v>124567</v>
      </c>
      <c r="C55" s="40">
        <f>C29+C41</f>
        <v>144455</v>
      </c>
      <c r="D55" s="40">
        <f>C55-B55</f>
        <v>19888</v>
      </c>
      <c r="E55" s="40">
        <f>E29+E41</f>
        <v>155466</v>
      </c>
      <c r="F55" s="70">
        <f>E55-C55</f>
        <v>11011</v>
      </c>
      <c r="G55" s="40">
        <f>G29+G41</f>
        <v>171633.40379827115</v>
      </c>
      <c r="H55" s="40">
        <f>H29+H41</f>
        <v>170711.70189913557</v>
      </c>
      <c r="I55" s="40">
        <f>I29+I41</f>
        <v>169790</v>
      </c>
    </row>
    <row r="56" spans="1:10" x14ac:dyDescent="0.2">
      <c r="A56" s="37" t="s">
        <v>101</v>
      </c>
      <c r="B56" s="40">
        <f>B30+B45</f>
        <v>79363</v>
      </c>
      <c r="C56" s="40">
        <f>C30+C45</f>
        <v>93748</v>
      </c>
      <c r="D56" s="40">
        <f>C56-B56</f>
        <v>14385</v>
      </c>
      <c r="E56" s="40">
        <f>E30+E45</f>
        <v>103951</v>
      </c>
      <c r="F56" s="70">
        <f>E56-C56</f>
        <v>10203</v>
      </c>
      <c r="G56" s="40">
        <f>G30+G45</f>
        <v>115626.14107109906</v>
      </c>
      <c r="H56" s="40">
        <f>H30+H45</f>
        <v>115023.20515758329</v>
      </c>
      <c r="I56" s="40">
        <f>I30+I45</f>
        <v>114420.26924406752</v>
      </c>
    </row>
    <row r="57" spans="1:10" x14ac:dyDescent="0.2">
      <c r="A57" s="37" t="s">
        <v>102</v>
      </c>
      <c r="B57" s="40">
        <f>B31+B46</f>
        <v>45204</v>
      </c>
      <c r="C57" s="40">
        <f>C31+C46</f>
        <v>50707</v>
      </c>
      <c r="D57" s="40">
        <f>C57-B57</f>
        <v>5503</v>
      </c>
      <c r="E57" s="40">
        <f>E31+E46</f>
        <v>51515</v>
      </c>
      <c r="F57" s="70">
        <f>E57-C57</f>
        <v>808</v>
      </c>
      <c r="G57" s="40">
        <f>G31+G46</f>
        <v>56007.262727172099</v>
      </c>
      <c r="H57" s="40">
        <f>H31+H46</f>
        <v>55688.496741552284</v>
      </c>
      <c r="I57" s="40">
        <f>I55-I56</f>
        <v>55369.730755932484</v>
      </c>
    </row>
    <row r="58" spans="1:10" x14ac:dyDescent="0.2">
      <c r="A58" s="37" t="s">
        <v>103</v>
      </c>
      <c r="B58" s="43">
        <f>B56/B55</f>
        <v>0.63711095233890191</v>
      </c>
      <c r="C58" s="43">
        <f>C56/C55</f>
        <v>0.64897719012841371</v>
      </c>
      <c r="D58" s="37"/>
      <c r="E58" s="43">
        <f>E56/E55</f>
        <v>0.66864137496301446</v>
      </c>
      <c r="F58" s="37"/>
      <c r="G58" s="43">
        <f>G56/G55</f>
        <v>0.67368087162683044</v>
      </c>
      <c r="H58" s="43">
        <f>H56/H55</f>
        <v>0.6737862951278194</v>
      </c>
      <c r="I58" s="43">
        <f>I56/I55</f>
        <v>0.67389286320788921</v>
      </c>
    </row>
    <row r="59" spans="1:10" x14ac:dyDescent="0.2">
      <c r="A59" s="37" t="s">
        <v>104</v>
      </c>
      <c r="B59" s="43">
        <f>B57/B55</f>
        <v>0.36288904766109803</v>
      </c>
      <c r="C59" s="43">
        <f>C57/C55</f>
        <v>0.35102280987158629</v>
      </c>
      <c r="D59" s="37"/>
      <c r="E59" s="43">
        <f>E57/E55</f>
        <v>0.3313586250369856</v>
      </c>
      <c r="F59" s="37"/>
      <c r="G59" s="43">
        <f>1-G58</f>
        <v>0.32631912837316956</v>
      </c>
      <c r="H59" s="43">
        <f>1-H58</f>
        <v>0.3262137048721806</v>
      </c>
      <c r="I59" s="43">
        <f>1-I58</f>
        <v>0.32610713679211079</v>
      </c>
    </row>
    <row r="60" spans="1:10" ht="15.75" x14ac:dyDescent="0.2">
      <c r="A60" s="213"/>
      <c r="B60" s="213"/>
      <c r="C60" s="213"/>
      <c r="D60" s="214"/>
      <c r="E60" s="215"/>
      <c r="F60" s="214"/>
      <c r="G60" s="215"/>
      <c r="H60" s="215"/>
      <c r="I60" s="216"/>
    </row>
    <row r="61" spans="1:10" ht="12.75" customHeight="1" x14ac:dyDescent="0.2">
      <c r="A61" s="64" t="s">
        <v>93</v>
      </c>
      <c r="B61" s="40"/>
      <c r="C61" s="40"/>
      <c r="D61" s="40"/>
      <c r="E61" s="40"/>
      <c r="F61" s="37"/>
      <c r="G61" s="40"/>
      <c r="H61" s="40"/>
      <c r="I61" s="40"/>
    </row>
    <row r="62" spans="1:10" ht="12.75" customHeight="1" x14ac:dyDescent="0.2">
      <c r="A62" s="37" t="s">
        <v>1</v>
      </c>
      <c r="B62" s="40">
        <v>1807</v>
      </c>
      <c r="C62" s="40">
        <v>480</v>
      </c>
      <c r="D62" s="40">
        <f t="shared" ref="D62:D68" si="0">C62-B62</f>
        <v>-1327</v>
      </c>
      <c r="E62" s="40">
        <v>1595</v>
      </c>
      <c r="F62" s="40">
        <f>+E62-C62</f>
        <v>1115</v>
      </c>
      <c r="G62" s="40">
        <f t="shared" ref="G62:I63" si="1">G56/(1-G70)-G56</f>
        <v>1167.9408188999951</v>
      </c>
      <c r="H62" s="40">
        <f t="shared" si="1"/>
        <v>1161.850557147307</v>
      </c>
      <c r="I62" s="40">
        <f t="shared" si="1"/>
        <v>1155.7602953946189</v>
      </c>
    </row>
    <row r="63" spans="1:10" ht="12.75" customHeight="1" x14ac:dyDescent="0.2">
      <c r="A63" s="37" t="s">
        <v>2</v>
      </c>
      <c r="B63" s="40">
        <v>5649</v>
      </c>
      <c r="C63" s="40">
        <v>1324</v>
      </c>
      <c r="D63" s="40">
        <f t="shared" si="0"/>
        <v>-4325</v>
      </c>
      <c r="E63" s="40">
        <v>4170</v>
      </c>
      <c r="F63" s="40">
        <f t="shared" ref="F63:F68" si="2">+E63-C63</f>
        <v>2846</v>
      </c>
      <c r="G63" s="40">
        <f t="shared" si="1"/>
        <v>2333.6359469655072</v>
      </c>
      <c r="H63" s="40">
        <f t="shared" si="1"/>
        <v>2320.3540308980155</v>
      </c>
      <c r="I63" s="40">
        <f t="shared" si="1"/>
        <v>2307.0721148305238</v>
      </c>
    </row>
    <row r="64" spans="1:10" ht="12.75" customHeight="1" x14ac:dyDescent="0.2">
      <c r="A64" s="37" t="s">
        <v>8</v>
      </c>
      <c r="B64" s="40">
        <v>556</v>
      </c>
      <c r="C64" s="40">
        <v>423</v>
      </c>
      <c r="D64" s="40">
        <f t="shared" si="0"/>
        <v>-133</v>
      </c>
      <c r="E64" s="139">
        <v>523</v>
      </c>
      <c r="F64" s="40">
        <f t="shared" si="2"/>
        <v>100</v>
      </c>
      <c r="G64" s="140" t="s">
        <v>32</v>
      </c>
      <c r="H64" s="40"/>
      <c r="I64" s="40"/>
    </row>
    <row r="65" spans="1:10" ht="12.75" customHeight="1" x14ac:dyDescent="0.2">
      <c r="A65" s="37" t="s">
        <v>10</v>
      </c>
      <c r="B65" s="40">
        <v>1877</v>
      </c>
      <c r="C65" s="40">
        <v>2283</v>
      </c>
      <c r="D65" s="40">
        <f t="shared" si="0"/>
        <v>406</v>
      </c>
      <c r="E65" s="139">
        <v>2286</v>
      </c>
      <c r="F65" s="40">
        <f t="shared" si="2"/>
        <v>3</v>
      </c>
      <c r="G65" s="140" t="s">
        <v>32</v>
      </c>
      <c r="H65" s="40"/>
      <c r="I65" s="40"/>
    </row>
    <row r="66" spans="1:10" ht="12.75" customHeight="1" x14ac:dyDescent="0.2">
      <c r="A66" s="37" t="s">
        <v>7</v>
      </c>
      <c r="B66" s="40">
        <v>1166</v>
      </c>
      <c r="C66" s="40">
        <v>996</v>
      </c>
      <c r="D66" s="40">
        <f t="shared" si="0"/>
        <v>-170</v>
      </c>
      <c r="E66" s="139">
        <v>2009</v>
      </c>
      <c r="F66" s="40">
        <f t="shared" si="2"/>
        <v>1013</v>
      </c>
      <c r="G66" s="140" t="s">
        <v>32</v>
      </c>
      <c r="H66" s="40"/>
      <c r="I66" s="40"/>
    </row>
    <row r="67" spans="1:10" ht="12.75" customHeight="1" x14ac:dyDescent="0.2">
      <c r="A67" s="37" t="s">
        <v>11</v>
      </c>
      <c r="B67" s="40">
        <f>SUM(B62:B66)</f>
        <v>11055</v>
      </c>
      <c r="C67" s="40">
        <f>SUM(C62:C66)</f>
        <v>5506</v>
      </c>
      <c r="D67" s="40">
        <f t="shared" si="0"/>
        <v>-5549</v>
      </c>
      <c r="E67" s="139">
        <v>10587</v>
      </c>
      <c r="F67" s="40">
        <f t="shared" si="2"/>
        <v>5081</v>
      </c>
      <c r="G67" s="140" t="s">
        <v>32</v>
      </c>
      <c r="H67" s="40"/>
      <c r="I67" s="40"/>
    </row>
    <row r="68" spans="1:10" ht="12.75" customHeight="1" x14ac:dyDescent="0.2">
      <c r="A68" s="37" t="s">
        <v>9</v>
      </c>
      <c r="B68" s="40">
        <v>135622</v>
      </c>
      <c r="C68" s="40">
        <v>149961</v>
      </c>
      <c r="D68" s="40">
        <f t="shared" si="0"/>
        <v>14339</v>
      </c>
      <c r="E68" s="139">
        <v>166053</v>
      </c>
      <c r="F68" s="40">
        <f t="shared" si="2"/>
        <v>16092</v>
      </c>
      <c r="G68" s="140" t="s">
        <v>32</v>
      </c>
      <c r="H68" s="40"/>
      <c r="I68" s="40"/>
    </row>
    <row r="69" spans="1:10" ht="12.75" customHeight="1" x14ac:dyDescent="0.2">
      <c r="A69" s="37"/>
      <c r="B69" s="174"/>
      <c r="C69" s="174"/>
      <c r="D69" s="37"/>
      <c r="E69" s="42"/>
      <c r="F69" s="37"/>
      <c r="G69" s="43"/>
      <c r="H69" s="43"/>
      <c r="I69" s="43"/>
    </row>
    <row r="70" spans="1:10" ht="12.75" customHeight="1" x14ac:dyDescent="0.2">
      <c r="A70" s="37" t="s">
        <v>4</v>
      </c>
      <c r="B70" s="43">
        <f>B62/B81</f>
        <v>2.2261919428360231E-2</v>
      </c>
      <c r="C70" s="43">
        <f>C62/C81</f>
        <v>5.094027253045804E-3</v>
      </c>
      <c r="D70" s="42"/>
      <c r="E70" s="43">
        <f>E62/E81</f>
        <v>1.5111894339908666E-2</v>
      </c>
      <c r="F70" s="37"/>
      <c r="G70" s="218">
        <v>0.01</v>
      </c>
      <c r="H70" s="43">
        <f>G70</f>
        <v>0.01</v>
      </c>
      <c r="I70" s="43">
        <f>H70</f>
        <v>0.01</v>
      </c>
    </row>
    <row r="71" spans="1:10" ht="12.75" customHeight="1" x14ac:dyDescent="0.2">
      <c r="A71" s="37" t="s">
        <v>3</v>
      </c>
      <c r="B71" s="43">
        <f>B63/B82</f>
        <v>0.1110848917467996</v>
      </c>
      <c r="C71" s="43">
        <f>C63/C82</f>
        <v>2.5446368511079932E-2</v>
      </c>
      <c r="D71" s="42"/>
      <c r="E71" s="43">
        <f>E63/E82</f>
        <v>7.4885516745981859E-2</v>
      </c>
      <c r="F71" s="37"/>
      <c r="G71" s="218">
        <v>0.04</v>
      </c>
      <c r="H71" s="43">
        <f>G71</f>
        <v>0.04</v>
      </c>
      <c r="I71" s="43">
        <f>H71</f>
        <v>0.04</v>
      </c>
      <c r="J71" s="4" t="s">
        <v>130</v>
      </c>
    </row>
    <row r="72" spans="1:10" ht="12.75" customHeight="1" x14ac:dyDescent="0.2">
      <c r="A72" s="37" t="s">
        <v>5</v>
      </c>
      <c r="B72" s="43">
        <f>(B62+B63)/B83</f>
        <v>5.647500814252062E-2</v>
      </c>
      <c r="C72" s="43">
        <f>(C62+C63)/C83</f>
        <v>1.2334283702199522E-2</v>
      </c>
      <c r="D72" s="42"/>
      <c r="E72" s="43">
        <f>(E62+E63)/E83</f>
        <v>3.5756151112379134E-2</v>
      </c>
      <c r="F72" s="37"/>
      <c r="G72" s="43">
        <f>(G62+G63)/G83</f>
        <v>1.9895023592043252E-2</v>
      </c>
      <c r="H72" s="43">
        <f>(H62+H63)/H83</f>
        <v>1.9891313543884327E-2</v>
      </c>
      <c r="I72" s="43">
        <f>(I62+I63)/I83</f>
        <v>1.9887563392116482E-2</v>
      </c>
    </row>
    <row r="73" spans="1:10" ht="12.75" customHeight="1" x14ac:dyDescent="0.2">
      <c r="A73" s="37"/>
      <c r="B73" s="43"/>
      <c r="C73" s="43"/>
      <c r="D73" s="42"/>
      <c r="E73" s="42"/>
      <c r="F73" s="37"/>
      <c r="G73" s="37"/>
      <c r="H73" s="37"/>
      <c r="I73" s="37"/>
    </row>
    <row r="74" spans="1:10" ht="12.75" customHeight="1" x14ac:dyDescent="0.2">
      <c r="A74" s="37"/>
      <c r="B74" s="43"/>
      <c r="C74" s="43"/>
      <c r="D74" s="42"/>
      <c r="E74" s="42"/>
      <c r="F74" s="37"/>
      <c r="G74" s="37"/>
      <c r="H74" s="37"/>
      <c r="I74" s="37"/>
    </row>
    <row r="75" spans="1:10" ht="12.75" customHeight="1" x14ac:dyDescent="0.2">
      <c r="A75" s="37" t="s">
        <v>38</v>
      </c>
      <c r="B75" s="43"/>
      <c r="C75" s="43"/>
      <c r="D75" s="42"/>
      <c r="E75" s="42"/>
      <c r="F75" s="37"/>
      <c r="G75" s="154">
        <f>0.0005*8*E81</f>
        <v>422.18400000000003</v>
      </c>
      <c r="H75" s="154">
        <f>G75</f>
        <v>422.18400000000003</v>
      </c>
      <c r="I75" s="154">
        <f>H75</f>
        <v>422.18400000000003</v>
      </c>
    </row>
    <row r="76" spans="1:10" ht="12.75" customHeight="1" x14ac:dyDescent="0.2">
      <c r="A76" s="37" t="s">
        <v>39</v>
      </c>
      <c r="B76" s="43"/>
      <c r="C76" s="43"/>
      <c r="D76" s="42"/>
      <c r="E76" s="42"/>
      <c r="F76" s="37"/>
      <c r="G76" s="154">
        <f>0.001*8*E82</f>
        <v>445.48</v>
      </c>
      <c r="H76" s="154">
        <f>G76</f>
        <v>445.48</v>
      </c>
      <c r="I76" s="154">
        <f>H76</f>
        <v>445.48</v>
      </c>
    </row>
    <row r="77" spans="1:10" ht="12.75" customHeight="1" x14ac:dyDescent="0.2">
      <c r="A77" s="37" t="s">
        <v>47</v>
      </c>
      <c r="B77" s="43"/>
      <c r="C77" s="43"/>
      <c r="D77" s="42"/>
      <c r="E77" s="42"/>
      <c r="F77" s="37"/>
      <c r="G77" s="154">
        <f>G75+G76</f>
        <v>867.66399999999999</v>
      </c>
      <c r="H77" s="154">
        <f>H75+H76</f>
        <v>867.66399999999999</v>
      </c>
      <c r="I77" s="154">
        <f>I75+I76</f>
        <v>867.66399999999999</v>
      </c>
    </row>
    <row r="78" spans="1:10" x14ac:dyDescent="0.2">
      <c r="A78" s="31"/>
      <c r="B78" s="38"/>
      <c r="C78" s="38"/>
      <c r="D78" s="44"/>
      <c r="E78" s="44"/>
      <c r="F78" s="31"/>
      <c r="G78" s="45"/>
      <c r="H78" s="45"/>
      <c r="I78" s="45"/>
    </row>
    <row r="79" spans="1:10" x14ac:dyDescent="0.2">
      <c r="A79" s="31"/>
      <c r="B79" s="38"/>
      <c r="C79" s="38"/>
      <c r="D79" s="44"/>
      <c r="E79" s="44"/>
      <c r="F79" s="33"/>
      <c r="G79" s="46">
        <v>2020</v>
      </c>
      <c r="H79" s="22">
        <v>2020</v>
      </c>
      <c r="I79" s="47">
        <v>2020</v>
      </c>
    </row>
    <row r="80" spans="1:10" ht="25.5" x14ac:dyDescent="0.2">
      <c r="A80" s="48" t="s">
        <v>64</v>
      </c>
      <c r="B80" s="48">
        <v>1990</v>
      </c>
      <c r="C80" s="48">
        <v>2000</v>
      </c>
      <c r="D80" s="29" t="s">
        <v>117</v>
      </c>
      <c r="E80" s="48">
        <v>2010</v>
      </c>
      <c r="F80" s="49" t="s">
        <v>44</v>
      </c>
      <c r="G80" s="50" t="s">
        <v>35</v>
      </c>
      <c r="H80" s="51" t="s">
        <v>36</v>
      </c>
      <c r="I80" s="50" t="s">
        <v>37</v>
      </c>
    </row>
    <row r="81" spans="1:13" x14ac:dyDescent="0.2">
      <c r="A81" s="31" t="s">
        <v>13</v>
      </c>
      <c r="B81" s="32">
        <f>B56+B62</f>
        <v>81170</v>
      </c>
      <c r="C81" s="32">
        <f>C56+C62</f>
        <v>94228</v>
      </c>
      <c r="D81" s="32">
        <f>C81-B81</f>
        <v>13058</v>
      </c>
      <c r="E81" s="32">
        <f>E56+E62</f>
        <v>105546</v>
      </c>
      <c r="F81" s="52" t="s">
        <v>41</v>
      </c>
      <c r="G81" s="53">
        <f t="shared" ref="G81:I82" si="3">G56+G62+G75</f>
        <v>117216.26588999905</v>
      </c>
      <c r="H81" s="53">
        <f t="shared" si="3"/>
        <v>116607.23971473059</v>
      </c>
      <c r="I81" s="53">
        <f t="shared" si="3"/>
        <v>115998.21353946213</v>
      </c>
    </row>
    <row r="82" spans="1:13" x14ac:dyDescent="0.2">
      <c r="A82" s="31" t="s">
        <v>14</v>
      </c>
      <c r="B82" s="32">
        <f>B57+B63</f>
        <v>50853</v>
      </c>
      <c r="C82" s="32">
        <f>C57+C63</f>
        <v>52031</v>
      </c>
      <c r="D82" s="32">
        <f>C82-B82</f>
        <v>1178</v>
      </c>
      <c r="E82" s="32">
        <f>E57+E63</f>
        <v>55685</v>
      </c>
      <c r="F82" s="52" t="s">
        <v>43</v>
      </c>
      <c r="G82" s="53">
        <f t="shared" si="3"/>
        <v>58786.37867413761</v>
      </c>
      <c r="H82" s="53">
        <f t="shared" si="3"/>
        <v>58454.330772450303</v>
      </c>
      <c r="I82" s="53">
        <f t="shared" si="3"/>
        <v>58122.282870763011</v>
      </c>
    </row>
    <row r="83" spans="1:13" x14ac:dyDescent="0.2">
      <c r="A83" s="31" t="s">
        <v>12</v>
      </c>
      <c r="B83" s="32">
        <f>B81+B82</f>
        <v>132023</v>
      </c>
      <c r="C83" s="32">
        <f>C81+C82</f>
        <v>146259</v>
      </c>
      <c r="D83" s="32">
        <f>C83-B83</f>
        <v>14236</v>
      </c>
      <c r="E83" s="32">
        <f>E81+E82</f>
        <v>161231</v>
      </c>
      <c r="F83" s="52" t="s">
        <v>42</v>
      </c>
      <c r="G83" s="53">
        <f>G81+G82</f>
        <v>176002.64456413666</v>
      </c>
      <c r="H83" s="53">
        <f>H81+H82</f>
        <v>175061.5704871809</v>
      </c>
      <c r="I83" s="53">
        <f>I81+I82</f>
        <v>174120.49641022514</v>
      </c>
    </row>
    <row r="84" spans="1:13" x14ac:dyDescent="0.2">
      <c r="A84" s="31"/>
      <c r="B84" s="32"/>
      <c r="C84" s="32"/>
      <c r="D84" s="32"/>
      <c r="E84" s="32"/>
      <c r="F84" s="54" t="s">
        <v>205</v>
      </c>
      <c r="G84" s="75"/>
      <c r="H84" s="76"/>
      <c r="I84" s="77"/>
    </row>
    <row r="85" spans="1:13" x14ac:dyDescent="0.2">
      <c r="A85" s="31"/>
      <c r="B85" s="32"/>
      <c r="C85" s="39"/>
      <c r="D85" s="31"/>
      <c r="E85" s="31"/>
      <c r="F85" s="49" t="s">
        <v>44</v>
      </c>
      <c r="G85" s="78" t="s">
        <v>35</v>
      </c>
      <c r="H85" s="79" t="s">
        <v>36</v>
      </c>
      <c r="I85" s="78" t="s">
        <v>37</v>
      </c>
    </row>
    <row r="86" spans="1:13" x14ac:dyDescent="0.2">
      <c r="A86" s="31"/>
      <c r="B86" s="31"/>
      <c r="C86" s="31"/>
      <c r="D86" s="31"/>
      <c r="E86" s="31"/>
      <c r="F86" s="52" t="s">
        <v>41</v>
      </c>
      <c r="G86" s="53">
        <f>G81-E81</f>
        <v>11670.265889999049</v>
      </c>
      <c r="H86" s="53">
        <f>H81-E81</f>
        <v>11061.239714730589</v>
      </c>
      <c r="I86" s="53">
        <f>I81-E81</f>
        <v>10452.213539462129</v>
      </c>
    </row>
    <row r="87" spans="1:13" x14ac:dyDescent="0.2">
      <c r="A87" s="31"/>
      <c r="B87" s="31"/>
      <c r="C87" s="31"/>
      <c r="D87" s="31"/>
      <c r="E87" s="31"/>
      <c r="F87" s="52" t="s">
        <v>43</v>
      </c>
      <c r="G87" s="53">
        <f>G82-E82</f>
        <v>3101.3786741376098</v>
      </c>
      <c r="H87" s="53">
        <f>H82-E82</f>
        <v>2769.3307724503029</v>
      </c>
      <c r="I87" s="53">
        <f>I82-E82</f>
        <v>2437.2828707630106</v>
      </c>
    </row>
    <row r="88" spans="1:13" x14ac:dyDescent="0.2">
      <c r="A88" s="31"/>
      <c r="B88" s="31"/>
      <c r="C88" s="31"/>
      <c r="D88" s="31"/>
      <c r="E88" s="31"/>
      <c r="F88" s="52" t="s">
        <v>42</v>
      </c>
      <c r="G88" s="53">
        <f>G83-E83</f>
        <v>14771.644564136659</v>
      </c>
      <c r="H88" s="53">
        <f>H83-E83</f>
        <v>13830.570487180899</v>
      </c>
      <c r="I88" s="53">
        <f>I83-E83</f>
        <v>12889.49641022514</v>
      </c>
    </row>
    <row r="89" spans="1:13" x14ac:dyDescent="0.2">
      <c r="A89" s="31"/>
      <c r="B89" s="38"/>
      <c r="C89" s="38"/>
      <c r="D89" s="31"/>
      <c r="E89" s="31"/>
      <c r="F89" s="35" t="s">
        <v>91</v>
      </c>
      <c r="G89" s="36"/>
      <c r="H89" s="36"/>
      <c r="I89" s="55"/>
    </row>
    <row r="90" spans="1:13" x14ac:dyDescent="0.2">
      <c r="A90" s="31"/>
      <c r="B90" s="38"/>
      <c r="C90" s="38"/>
      <c r="D90" s="31"/>
      <c r="E90" s="31"/>
      <c r="F90" s="52" t="s">
        <v>41</v>
      </c>
      <c r="G90" s="53">
        <f t="shared" ref="G90:I91" si="4">(1-$G$16)*G86</f>
        <v>7988.8347353847748</v>
      </c>
      <c r="H90" s="53">
        <f t="shared" si="4"/>
        <v>7571.9282561662794</v>
      </c>
      <c r="I90" s="53">
        <f t="shared" si="4"/>
        <v>7155.0217769477831</v>
      </c>
    </row>
    <row r="91" spans="1:13" x14ac:dyDescent="0.2">
      <c r="A91" s="31"/>
      <c r="B91" s="38"/>
      <c r="C91" s="38"/>
      <c r="D91" s="31"/>
      <c r="E91" s="31"/>
      <c r="F91" s="52" t="s">
        <v>43</v>
      </c>
      <c r="G91" s="53">
        <f t="shared" si="4"/>
        <v>2123.0366054268311</v>
      </c>
      <c r="H91" s="53">
        <f t="shared" si="4"/>
        <v>1895.7345168699264</v>
      </c>
      <c r="I91" s="53">
        <f t="shared" si="4"/>
        <v>1668.432428313032</v>
      </c>
    </row>
    <row r="92" spans="1:13" x14ac:dyDescent="0.2">
      <c r="A92" s="31"/>
      <c r="B92" s="38"/>
      <c r="C92" s="38"/>
      <c r="D92" s="31"/>
      <c r="E92" s="31"/>
      <c r="F92" s="52" t="s">
        <v>42</v>
      </c>
      <c r="G92" s="53">
        <f>G90+G91</f>
        <v>10111.871340811605</v>
      </c>
      <c r="H92" s="53">
        <f>H90+H91</f>
        <v>9467.6627730362052</v>
      </c>
      <c r="I92" s="53">
        <f>I90+I91</f>
        <v>8823.4542052608158</v>
      </c>
    </row>
    <row r="93" spans="1:13" ht="14.25" x14ac:dyDescent="0.2">
      <c r="A93" s="30"/>
      <c r="B93" s="67"/>
      <c r="C93" s="67"/>
      <c r="D93" s="30"/>
      <c r="E93" s="30"/>
      <c r="F93" s="69"/>
      <c r="G93" s="72"/>
      <c r="H93" s="72"/>
      <c r="I93" s="74"/>
    </row>
    <row r="94" spans="1:13" ht="14.25" x14ac:dyDescent="0.2">
      <c r="A94" s="30"/>
      <c r="B94" s="67"/>
      <c r="C94" s="67"/>
      <c r="D94" s="30"/>
      <c r="E94" s="30"/>
      <c r="F94" s="69"/>
      <c r="G94" s="72"/>
      <c r="H94" s="72"/>
      <c r="I94" s="74"/>
    </row>
    <row r="95" spans="1:13" ht="25.5" x14ac:dyDescent="0.2">
      <c r="A95" s="184" t="s">
        <v>155</v>
      </c>
      <c r="B95" s="181">
        <v>1990</v>
      </c>
      <c r="C95" s="182">
        <v>2000</v>
      </c>
      <c r="D95" s="183" t="s">
        <v>117</v>
      </c>
      <c r="E95" s="48">
        <v>2010</v>
      </c>
      <c r="F95" s="34"/>
      <c r="G95" s="175"/>
      <c r="H95" s="176" t="s">
        <v>185</v>
      </c>
      <c r="I95" s="177"/>
      <c r="K95" s="178"/>
      <c r="L95" s="179" t="s">
        <v>186</v>
      </c>
      <c r="M95" s="180"/>
    </row>
    <row r="96" spans="1:13" x14ac:dyDescent="0.2">
      <c r="A96" s="21" t="s">
        <v>150</v>
      </c>
      <c r="B96" s="32">
        <f t="shared" ref="B96:C98" si="5">B29</f>
        <v>103469</v>
      </c>
      <c r="C96" s="32">
        <f t="shared" si="5"/>
        <v>119621</v>
      </c>
      <c r="D96" s="32">
        <f>C96-B96</f>
        <v>16152</v>
      </c>
      <c r="E96" s="32">
        <f t="shared" ref="E96:I98" si="6">E29</f>
        <v>125735</v>
      </c>
      <c r="F96" s="34"/>
      <c r="G96" s="32">
        <f t="shared" si="6"/>
        <v>127502.40379827116</v>
      </c>
      <c r="H96" s="32">
        <f t="shared" si="6"/>
        <v>126580.70189913557</v>
      </c>
      <c r="I96" s="32">
        <f t="shared" si="6"/>
        <v>125659</v>
      </c>
      <c r="K96" s="3">
        <f>G96-E96</f>
        <v>1767.4037982711598</v>
      </c>
      <c r="L96" s="3">
        <f>H96-E96</f>
        <v>845.7018991355726</v>
      </c>
      <c r="M96" s="3">
        <f>I96-E96</f>
        <v>-76</v>
      </c>
    </row>
    <row r="97" spans="1:13" x14ac:dyDescent="0.2">
      <c r="A97" s="31" t="s">
        <v>151</v>
      </c>
      <c r="B97" s="32">
        <f t="shared" si="5"/>
        <v>65475</v>
      </c>
      <c r="C97" s="32">
        <f t="shared" si="5"/>
        <v>76605</v>
      </c>
      <c r="D97" s="32">
        <f>C97-B97</f>
        <v>11130</v>
      </c>
      <c r="E97" s="32">
        <f t="shared" si="6"/>
        <v>82453</v>
      </c>
      <c r="F97" s="34"/>
      <c r="G97" s="32">
        <f t="shared" si="6"/>
        <v>83406.336019991533</v>
      </c>
      <c r="H97" s="32">
        <f t="shared" si="6"/>
        <v>82803.400106475761</v>
      </c>
      <c r="I97" s="32">
        <f t="shared" si="6"/>
        <v>82200.464192960004</v>
      </c>
      <c r="K97" s="3">
        <f t="shared" ref="K97:K106" si="7">G97-E97</f>
        <v>953.33601999153325</v>
      </c>
      <c r="L97" s="3">
        <f t="shared" ref="L97:L106" si="8">H97-E97</f>
        <v>350.40010647576128</v>
      </c>
      <c r="M97" s="3">
        <f t="shared" ref="M97:M106" si="9">I97-E97</f>
        <v>-252.53580703999614</v>
      </c>
    </row>
    <row r="98" spans="1:13" x14ac:dyDescent="0.2">
      <c r="A98" s="31" t="s">
        <v>152</v>
      </c>
      <c r="B98" s="32">
        <f t="shared" si="5"/>
        <v>37994</v>
      </c>
      <c r="C98" s="32">
        <f t="shared" si="5"/>
        <v>43016</v>
      </c>
      <c r="D98" s="32">
        <f>C98-B98</f>
        <v>5022</v>
      </c>
      <c r="E98" s="32">
        <f t="shared" si="6"/>
        <v>43282</v>
      </c>
      <c r="F98" s="34"/>
      <c r="G98" s="32">
        <f t="shared" si="6"/>
        <v>44096.067778279627</v>
      </c>
      <c r="H98" s="32">
        <f t="shared" si="6"/>
        <v>43777.301792659811</v>
      </c>
      <c r="I98" s="32">
        <f t="shared" si="6"/>
        <v>43458.606891879266</v>
      </c>
      <c r="K98" s="3">
        <f t="shared" si="7"/>
        <v>814.06777827962651</v>
      </c>
      <c r="L98" s="3">
        <f t="shared" si="8"/>
        <v>495.30179265981133</v>
      </c>
      <c r="M98" s="3">
        <f t="shared" si="9"/>
        <v>176.60689187926619</v>
      </c>
    </row>
    <row r="99" spans="1:13" x14ac:dyDescent="0.2">
      <c r="A99" s="31"/>
      <c r="B99" s="31"/>
      <c r="C99" s="31"/>
      <c r="D99" s="31"/>
      <c r="E99" s="31"/>
      <c r="F99" s="34"/>
      <c r="G99" s="31"/>
      <c r="H99" s="31"/>
      <c r="I99" s="31"/>
      <c r="K99" s="3"/>
      <c r="L99" s="3"/>
      <c r="M99" s="3"/>
    </row>
    <row r="100" spans="1:13" x14ac:dyDescent="0.2">
      <c r="A100" s="21" t="s">
        <v>153</v>
      </c>
      <c r="B100" s="32">
        <f>B41</f>
        <v>21098</v>
      </c>
      <c r="C100" s="32">
        <f>C41</f>
        <v>24834</v>
      </c>
      <c r="D100" s="32">
        <f t="shared" ref="D100:D106" si="10">C100-B100</f>
        <v>3736</v>
      </c>
      <c r="E100" s="32">
        <f>E41</f>
        <v>29731</v>
      </c>
      <c r="F100" s="34"/>
      <c r="G100" s="32">
        <f>G41</f>
        <v>44131</v>
      </c>
      <c r="H100" s="32">
        <f>H41</f>
        <v>44131</v>
      </c>
      <c r="I100" s="32">
        <f>I41</f>
        <v>44131</v>
      </c>
      <c r="K100" s="3">
        <f t="shared" si="7"/>
        <v>14400</v>
      </c>
      <c r="L100" s="3">
        <f t="shared" si="8"/>
        <v>14400</v>
      </c>
      <c r="M100" s="3">
        <f t="shared" si="9"/>
        <v>14400</v>
      </c>
    </row>
    <row r="101" spans="1:13" x14ac:dyDescent="0.2">
      <c r="A101" s="31" t="s">
        <v>151</v>
      </c>
      <c r="B101" s="32">
        <f>B45</f>
        <v>13888</v>
      </c>
      <c r="C101" s="32">
        <f>C45</f>
        <v>17143</v>
      </c>
      <c r="D101" s="32">
        <f t="shared" si="10"/>
        <v>3255</v>
      </c>
      <c r="E101" s="32">
        <f t="shared" ref="E101:I102" si="11">E45</f>
        <v>21498</v>
      </c>
      <c r="F101" s="34"/>
      <c r="G101" s="32">
        <f t="shared" si="11"/>
        <v>32219.805051107523</v>
      </c>
      <c r="H101" s="32">
        <f t="shared" si="11"/>
        <v>32219.805051107523</v>
      </c>
      <c r="I101" s="32">
        <f t="shared" si="11"/>
        <v>32219.80505110752</v>
      </c>
      <c r="K101" s="3">
        <f t="shared" si="7"/>
        <v>10721.805051107523</v>
      </c>
      <c r="L101" s="3">
        <f t="shared" si="8"/>
        <v>10721.805051107523</v>
      </c>
      <c r="M101" s="3">
        <f t="shared" si="9"/>
        <v>10721.80505110752</v>
      </c>
    </row>
    <row r="102" spans="1:13" x14ac:dyDescent="0.2">
      <c r="A102" s="31" t="s">
        <v>152</v>
      </c>
      <c r="B102" s="32">
        <f>B46</f>
        <v>7210</v>
      </c>
      <c r="C102" s="32">
        <f>C46</f>
        <v>7691</v>
      </c>
      <c r="D102" s="32">
        <f t="shared" si="10"/>
        <v>481</v>
      </c>
      <c r="E102" s="32">
        <f t="shared" si="11"/>
        <v>8233</v>
      </c>
      <c r="F102" s="34"/>
      <c r="G102" s="32">
        <f t="shared" si="11"/>
        <v>11911.194948892477</v>
      </c>
      <c r="H102" s="32">
        <f t="shared" si="11"/>
        <v>11911.194948892477</v>
      </c>
      <c r="I102" s="32">
        <f t="shared" si="11"/>
        <v>11911.055099701309</v>
      </c>
      <c r="K102" s="3">
        <f t="shared" si="7"/>
        <v>3678.1949488924765</v>
      </c>
      <c r="L102" s="3">
        <f t="shared" si="8"/>
        <v>3678.1949488924765</v>
      </c>
      <c r="M102" s="3">
        <f t="shared" si="9"/>
        <v>3678.0550997013088</v>
      </c>
    </row>
    <row r="103" spans="1:13" x14ac:dyDescent="0.2">
      <c r="A103" s="31"/>
      <c r="B103" s="38"/>
      <c r="C103" s="38"/>
      <c r="D103" s="31"/>
      <c r="E103" s="31"/>
      <c r="F103" s="34"/>
      <c r="G103" s="31"/>
      <c r="H103" s="31"/>
      <c r="I103" s="31"/>
      <c r="K103" s="3"/>
      <c r="L103" s="3"/>
      <c r="M103" s="3"/>
    </row>
    <row r="104" spans="1:13" x14ac:dyDescent="0.2">
      <c r="A104" s="21" t="s">
        <v>154</v>
      </c>
      <c r="B104" s="32">
        <f t="shared" ref="B104:C106" si="12">B55</f>
        <v>124567</v>
      </c>
      <c r="C104" s="32">
        <f t="shared" si="12"/>
        <v>144455</v>
      </c>
      <c r="D104" s="32">
        <f t="shared" si="10"/>
        <v>19888</v>
      </c>
      <c r="E104" s="32">
        <f>E55</f>
        <v>155466</v>
      </c>
      <c r="F104" s="34"/>
      <c r="G104" s="32">
        <f>G55</f>
        <v>171633.40379827115</v>
      </c>
      <c r="H104" s="32">
        <f>H55</f>
        <v>170711.70189913557</v>
      </c>
      <c r="I104" s="32">
        <f>I55</f>
        <v>169790</v>
      </c>
      <c r="K104" s="3">
        <f t="shared" si="7"/>
        <v>16167.403798271145</v>
      </c>
      <c r="L104" s="3">
        <f t="shared" si="8"/>
        <v>15245.701899135573</v>
      </c>
      <c r="M104" s="3">
        <f t="shared" si="9"/>
        <v>14324</v>
      </c>
    </row>
    <row r="105" spans="1:13" x14ac:dyDescent="0.2">
      <c r="A105" s="31" t="s">
        <v>151</v>
      </c>
      <c r="B105" s="32">
        <f t="shared" si="12"/>
        <v>79363</v>
      </c>
      <c r="C105" s="32">
        <f t="shared" si="12"/>
        <v>93748</v>
      </c>
      <c r="D105" s="32">
        <f t="shared" si="10"/>
        <v>14385</v>
      </c>
      <c r="E105" s="32">
        <f t="shared" ref="E105:I106" si="13">E56</f>
        <v>103951</v>
      </c>
      <c r="F105" s="34"/>
      <c r="G105" s="32">
        <f t="shared" si="13"/>
        <v>115626.14107109906</v>
      </c>
      <c r="H105" s="32">
        <f t="shared" si="13"/>
        <v>115023.20515758329</v>
      </c>
      <c r="I105" s="32">
        <f t="shared" si="13"/>
        <v>114420.26924406752</v>
      </c>
      <c r="K105" s="3">
        <f t="shared" si="7"/>
        <v>11675.14107109906</v>
      </c>
      <c r="L105" s="3">
        <f t="shared" si="8"/>
        <v>11072.205157583288</v>
      </c>
      <c r="M105" s="3">
        <f t="shared" si="9"/>
        <v>10469.269244067516</v>
      </c>
    </row>
    <row r="106" spans="1:13" x14ac:dyDescent="0.2">
      <c r="A106" s="31" t="s">
        <v>152</v>
      </c>
      <c r="B106" s="32">
        <f t="shared" si="12"/>
        <v>45204</v>
      </c>
      <c r="C106" s="32">
        <f t="shared" si="12"/>
        <v>50707</v>
      </c>
      <c r="D106" s="32">
        <f t="shared" si="10"/>
        <v>5503</v>
      </c>
      <c r="E106" s="32">
        <f t="shared" si="13"/>
        <v>51515</v>
      </c>
      <c r="F106" s="34"/>
      <c r="G106" s="32">
        <f t="shared" si="13"/>
        <v>56007.262727172099</v>
      </c>
      <c r="H106" s="32">
        <f t="shared" si="13"/>
        <v>55688.496741552284</v>
      </c>
      <c r="I106" s="32">
        <f t="shared" si="13"/>
        <v>55369.730755932484</v>
      </c>
      <c r="K106" s="3">
        <f t="shared" si="7"/>
        <v>4492.2627271720994</v>
      </c>
      <c r="L106" s="3">
        <f t="shared" si="8"/>
        <v>4173.4967415522842</v>
      </c>
      <c r="M106" s="3">
        <f t="shared" si="9"/>
        <v>3854.7307559324836</v>
      </c>
    </row>
    <row r="107" spans="1:13" ht="14.25" x14ac:dyDescent="0.2">
      <c r="A107" s="30"/>
      <c r="B107" s="67"/>
      <c r="C107" s="67"/>
      <c r="D107" s="30"/>
      <c r="E107" s="30"/>
      <c r="F107" s="69"/>
      <c r="G107" s="72"/>
      <c r="H107" s="72"/>
      <c r="I107" s="74"/>
    </row>
    <row r="108" spans="1:13" ht="14.25" x14ac:dyDescent="0.2">
      <c r="A108" s="30"/>
      <c r="B108" s="67"/>
      <c r="C108" s="67"/>
      <c r="D108" s="30"/>
      <c r="E108" s="30"/>
      <c r="F108" s="69"/>
      <c r="G108" s="72"/>
      <c r="H108" s="72"/>
      <c r="I108" s="74"/>
    </row>
    <row r="109" spans="1:13" x14ac:dyDescent="0.2">
      <c r="A109" s="222" t="s">
        <v>206</v>
      </c>
      <c r="B109" s="38"/>
      <c r="C109" s="38"/>
      <c r="D109" s="31"/>
      <c r="E109" s="57" t="s">
        <v>187</v>
      </c>
      <c r="F109" s="34"/>
      <c r="G109" s="45"/>
      <c r="H109" s="58"/>
      <c r="I109" s="56"/>
    </row>
    <row r="110" spans="1:13" x14ac:dyDescent="0.2">
      <c r="A110" s="222" t="s">
        <v>207</v>
      </c>
      <c r="B110" s="38"/>
      <c r="C110" s="38"/>
      <c r="D110" s="31"/>
      <c r="E110" s="219" t="s">
        <v>209</v>
      </c>
      <c r="F110" s="34"/>
      <c r="G110" s="31"/>
      <c r="H110" s="59"/>
      <c r="I110" s="31"/>
    </row>
    <row r="111" spans="1:13" x14ac:dyDescent="0.2">
      <c r="A111" s="21"/>
      <c r="B111" s="38"/>
      <c r="C111" s="38"/>
      <c r="D111" s="31"/>
      <c r="E111" s="31"/>
      <c r="F111" s="34"/>
      <c r="G111" s="60" t="s">
        <v>77</v>
      </c>
      <c r="H111" s="60" t="s">
        <v>78</v>
      </c>
      <c r="I111" s="61" t="s">
        <v>79</v>
      </c>
    </row>
    <row r="112" spans="1:13" ht="14.25" customHeight="1" x14ac:dyDescent="0.2">
      <c r="A112" s="21" t="s">
        <v>49</v>
      </c>
      <c r="B112" s="38"/>
      <c r="C112" s="62" t="s">
        <v>208</v>
      </c>
      <c r="D112" s="31"/>
      <c r="E112" s="21" t="s">
        <v>49</v>
      </c>
      <c r="F112" s="34"/>
      <c r="G112" s="45"/>
      <c r="H112" s="31"/>
      <c r="I112" s="56"/>
    </row>
    <row r="113" spans="1:9" x14ac:dyDescent="0.2">
      <c r="A113" s="31" t="s">
        <v>50</v>
      </c>
      <c r="B113" s="38"/>
      <c r="C113" s="217">
        <v>5703.5845969193833</v>
      </c>
      <c r="D113" s="31"/>
      <c r="E113" s="31" t="s">
        <v>50</v>
      </c>
      <c r="F113" s="34"/>
      <c r="G113" s="45">
        <f>G56*C141</f>
        <v>6335.0349873137466</v>
      </c>
      <c r="H113" s="45">
        <f>H56*C141</f>
        <v>6302.0007610406265</v>
      </c>
      <c r="I113" s="45">
        <f>I56*C141</f>
        <v>6268.9665347675063</v>
      </c>
    </row>
    <row r="114" spans="1:9" x14ac:dyDescent="0.2">
      <c r="A114" s="31" t="s">
        <v>51</v>
      </c>
      <c r="B114" s="38"/>
      <c r="C114" s="217">
        <v>13517.3400340034</v>
      </c>
      <c r="D114" s="31"/>
      <c r="E114" s="31" t="s">
        <v>51</v>
      </c>
      <c r="F114" s="34"/>
      <c r="G114" s="45">
        <f>G56*C142</f>
        <v>15013.860248006189</v>
      </c>
      <c r="H114" s="45">
        <f>H56*C142</f>
        <v>14935.570032141739</v>
      </c>
      <c r="I114" s="45">
        <f>I56*C142</f>
        <v>14857.279816277289</v>
      </c>
    </row>
    <row r="115" spans="1:9" x14ac:dyDescent="0.2">
      <c r="A115" s="31" t="s">
        <v>52</v>
      </c>
      <c r="B115" s="38"/>
      <c r="C115" s="217">
        <v>18273.632468831252</v>
      </c>
      <c r="D115" s="31"/>
      <c r="E115" s="31" t="s">
        <v>52</v>
      </c>
      <c r="F115" s="34"/>
      <c r="G115" s="45">
        <f>G56*C143</f>
        <v>20296.727271808133</v>
      </c>
      <c r="H115" s="45">
        <f>H56*C143</f>
        <v>20190.88939046361</v>
      </c>
      <c r="I115" s="45">
        <f>I56*C143</f>
        <v>20085.051509119086</v>
      </c>
    </row>
    <row r="116" spans="1:9" x14ac:dyDescent="0.2">
      <c r="A116" s="31" t="s">
        <v>53</v>
      </c>
      <c r="B116" s="38"/>
      <c r="C116" s="217">
        <v>28331.404008160331</v>
      </c>
      <c r="D116" s="31"/>
      <c r="E116" s="31" t="s">
        <v>53</v>
      </c>
      <c r="F116" s="34"/>
      <c r="G116" s="45">
        <f>G56*C144</f>
        <v>31468.00623039018</v>
      </c>
      <c r="H116" s="45">
        <f>H56*C144</f>
        <v>31303.915386336379</v>
      </c>
      <c r="I116" s="45">
        <f>I56*C144</f>
        <v>31139.824542282578</v>
      </c>
    </row>
    <row r="117" spans="1:9" x14ac:dyDescent="0.2">
      <c r="A117" s="31" t="s">
        <v>54</v>
      </c>
      <c r="B117" s="38"/>
      <c r="C117" s="217">
        <v>38987.647985919437</v>
      </c>
      <c r="D117" s="31"/>
      <c r="E117" s="31" t="s">
        <v>54</v>
      </c>
      <c r="F117" s="34"/>
      <c r="G117" s="45">
        <f>G56*C145</f>
        <v>43304.015197262968</v>
      </c>
      <c r="H117" s="45">
        <f>H56*C145</f>
        <v>43078.205136320015</v>
      </c>
      <c r="I117" s="45">
        <f>I56*C145</f>
        <v>42852.39507537707</v>
      </c>
    </row>
    <row r="118" spans="1:9" x14ac:dyDescent="0.2">
      <c r="A118" s="31" t="s">
        <v>55</v>
      </c>
      <c r="B118" s="38"/>
      <c r="C118" s="217">
        <v>49317.190447617897</v>
      </c>
      <c r="D118" s="31"/>
      <c r="E118" s="31" t="s">
        <v>55</v>
      </c>
      <c r="F118" s="34"/>
      <c r="G118" s="45">
        <f>G56*C146</f>
        <v>54777.153148639547</v>
      </c>
      <c r="H118" s="45">
        <f>H56*C146</f>
        <v>54491.516072390848</v>
      </c>
      <c r="I118" s="45">
        <f>I56*C146</f>
        <v>54205.87899614215</v>
      </c>
    </row>
    <row r="119" spans="1:9" x14ac:dyDescent="0.2">
      <c r="A119" s="31" t="s">
        <v>56</v>
      </c>
      <c r="B119" s="38"/>
      <c r="C119" s="217">
        <v>104101</v>
      </c>
      <c r="D119" s="31"/>
      <c r="E119" s="31" t="s">
        <v>56</v>
      </c>
      <c r="F119" s="34"/>
      <c r="G119" s="45">
        <f>G56*C147</f>
        <v>115626.14107109906</v>
      </c>
      <c r="H119" s="45">
        <f>H56*C147</f>
        <v>115023.20515758329</v>
      </c>
      <c r="I119" s="45">
        <f>I56*C147</f>
        <v>114420.26924406752</v>
      </c>
    </row>
    <row r="120" spans="1:9" x14ac:dyDescent="0.2">
      <c r="A120" s="31"/>
      <c r="B120" s="38"/>
      <c r="C120" s="32"/>
      <c r="D120" s="31"/>
      <c r="E120" s="31"/>
      <c r="F120" s="34"/>
      <c r="G120" s="45"/>
      <c r="H120" s="45"/>
      <c r="I120" s="45"/>
    </row>
    <row r="121" spans="1:9" x14ac:dyDescent="0.2">
      <c r="A121" s="21" t="s">
        <v>0</v>
      </c>
      <c r="B121" s="38"/>
      <c r="C121" s="32"/>
      <c r="D121" s="31"/>
      <c r="E121" s="21" t="s">
        <v>0</v>
      </c>
      <c r="F121" s="34"/>
      <c r="G121" s="45"/>
      <c r="H121" s="45"/>
      <c r="I121" s="45"/>
    </row>
    <row r="122" spans="1:9" x14ac:dyDescent="0.2">
      <c r="A122" s="31" t="s">
        <v>50</v>
      </c>
      <c r="B122" s="38"/>
      <c r="C122" s="217">
        <v>12630.169713942787</v>
      </c>
      <c r="D122" s="31"/>
      <c r="E122" s="31" t="s">
        <v>50</v>
      </c>
      <c r="F122" s="34"/>
      <c r="G122" s="45">
        <f>G57*C150</f>
        <v>14566.858867353756</v>
      </c>
      <c r="H122" s="45">
        <f>H57*C150</f>
        <v>14483.951421102433</v>
      </c>
      <c r="I122" s="45">
        <f>I57*C150</f>
        <v>14401.043974851113</v>
      </c>
    </row>
    <row r="123" spans="1:9" x14ac:dyDescent="0.2">
      <c r="A123" s="31" t="s">
        <v>51</v>
      </c>
      <c r="B123" s="38"/>
      <c r="C123" s="217">
        <v>20937.217621762175</v>
      </c>
      <c r="D123" s="31"/>
      <c r="E123" s="31" t="s">
        <v>51</v>
      </c>
      <c r="F123" s="34"/>
      <c r="G123" s="45">
        <f>G57*C151</f>
        <v>24147.695642964758</v>
      </c>
      <c r="H123" s="45">
        <f>H57*C151</f>
        <v>24010.258753046146</v>
      </c>
      <c r="I123" s="45">
        <f>I57*C151</f>
        <v>23872.821863127545</v>
      </c>
    </row>
    <row r="124" spans="1:9" x14ac:dyDescent="0.2">
      <c r="A124" s="31" t="s">
        <v>52</v>
      </c>
      <c r="B124" s="38"/>
      <c r="C124" s="217">
        <v>24900.591719447963</v>
      </c>
      <c r="D124" s="31"/>
      <c r="E124" s="31" t="s">
        <v>52</v>
      </c>
      <c r="F124" s="34"/>
      <c r="G124" s="45">
        <f>G57*C152</f>
        <v>28718.806912814151</v>
      </c>
      <c r="H124" s="45">
        <f>H57*C152</f>
        <v>28555.353490068195</v>
      </c>
      <c r="I124" s="45">
        <f>I57*C152</f>
        <v>28391.900067322244</v>
      </c>
    </row>
    <row r="125" spans="1:9" x14ac:dyDescent="0.2">
      <c r="A125" s="31" t="s">
        <v>53</v>
      </c>
      <c r="B125" s="38"/>
      <c r="C125" s="217">
        <v>31845.440057602307</v>
      </c>
      <c r="D125" s="31"/>
      <c r="E125" s="31" t="s">
        <v>53</v>
      </c>
      <c r="F125" s="34"/>
      <c r="G125" s="45">
        <f>G57*C153</f>
        <v>36728.566709263461</v>
      </c>
      <c r="H125" s="45">
        <f>H57*C153</f>
        <v>36519.525645705085</v>
      </c>
      <c r="I125" s="45">
        <f>I57*C153</f>
        <v>36310.484582146717</v>
      </c>
    </row>
    <row r="126" spans="1:9" x14ac:dyDescent="0.2">
      <c r="A126" s="31" t="s">
        <v>54</v>
      </c>
      <c r="B126" s="38"/>
      <c r="C126" s="217">
        <v>36615.475979039162</v>
      </c>
      <c r="D126" s="31"/>
      <c r="E126" s="31" t="s">
        <v>54</v>
      </c>
      <c r="F126" s="34"/>
      <c r="G126" s="45">
        <f>G57*C154</f>
        <v>42230.031981188717</v>
      </c>
      <c r="H126" s="45">
        <f>H57*C154</f>
        <v>41989.679264206017</v>
      </c>
      <c r="I126" s="45">
        <f>I57*C154</f>
        <v>41749.326547223325</v>
      </c>
    </row>
    <row r="127" spans="1:9" x14ac:dyDescent="0.2">
      <c r="A127" s="31" t="s">
        <v>55</v>
      </c>
      <c r="B127" s="38"/>
      <c r="C127" s="217">
        <v>40421.130805232206</v>
      </c>
      <c r="D127" s="31"/>
      <c r="E127" s="31" t="s">
        <v>55</v>
      </c>
      <c r="F127" s="34"/>
      <c r="G127" s="45">
        <f>G57*C155</f>
        <v>46619.239569572899</v>
      </c>
      <c r="H127" s="45">
        <f>H57*C155</f>
        <v>46353.905626676395</v>
      </c>
      <c r="I127" s="45">
        <f>I57*C155</f>
        <v>46088.571683779897</v>
      </c>
    </row>
    <row r="128" spans="1:9" x14ac:dyDescent="0.2">
      <c r="A128" s="31" t="s">
        <v>57</v>
      </c>
      <c r="B128" s="38"/>
      <c r="C128" s="217">
        <v>48561</v>
      </c>
      <c r="D128" s="31"/>
      <c r="E128" s="31" t="s">
        <v>57</v>
      </c>
      <c r="F128" s="34"/>
      <c r="G128" s="45">
        <f>G57*C156</f>
        <v>56007.262727172099</v>
      </c>
      <c r="H128" s="45">
        <f>H57*C156</f>
        <v>55688.496741552284</v>
      </c>
      <c r="I128" s="45">
        <f>I57*C156</f>
        <v>55369.730755932484</v>
      </c>
    </row>
    <row r="129" spans="1:9" x14ac:dyDescent="0.2">
      <c r="A129" s="31"/>
      <c r="B129" s="38"/>
      <c r="C129" s="32"/>
      <c r="D129" s="31"/>
      <c r="E129" s="31"/>
      <c r="F129" s="34"/>
      <c r="G129" s="45"/>
      <c r="H129" s="45"/>
      <c r="I129" s="45"/>
    </row>
    <row r="130" spans="1:9" x14ac:dyDescent="0.2">
      <c r="A130" s="21" t="s">
        <v>58</v>
      </c>
      <c r="B130" s="38"/>
      <c r="C130" s="38"/>
      <c r="D130" s="31"/>
      <c r="E130" s="21" t="s">
        <v>58</v>
      </c>
      <c r="F130" s="34"/>
      <c r="G130" s="45"/>
      <c r="H130" s="45"/>
      <c r="I130" s="45"/>
    </row>
    <row r="131" spans="1:9" x14ac:dyDescent="0.2">
      <c r="A131" s="31" t="s">
        <v>50</v>
      </c>
      <c r="B131" s="38"/>
      <c r="C131" s="32">
        <f>C113+C122</f>
        <v>18333.754310862168</v>
      </c>
      <c r="D131" s="31"/>
      <c r="E131" s="31" t="s">
        <v>50</v>
      </c>
      <c r="F131" s="34"/>
      <c r="G131" s="32">
        <f>G113+G122</f>
        <v>20901.893854667502</v>
      </c>
      <c r="H131" s="32">
        <f>H113+H122</f>
        <v>20785.952182143061</v>
      </c>
      <c r="I131" s="32">
        <f>I113+I122</f>
        <v>20670.01050961862</v>
      </c>
    </row>
    <row r="132" spans="1:9" x14ac:dyDescent="0.2">
      <c r="A132" s="31" t="s">
        <v>51</v>
      </c>
      <c r="B132" s="38"/>
      <c r="C132" s="32">
        <f t="shared" ref="C132:C137" si="14">C114+C123</f>
        <v>34454.557655765573</v>
      </c>
      <c r="D132" s="31"/>
      <c r="E132" s="31" t="s">
        <v>51</v>
      </c>
      <c r="F132" s="34"/>
      <c r="G132" s="32">
        <f t="shared" ref="G132:I137" si="15">G114+G123</f>
        <v>39161.555890970951</v>
      </c>
      <c r="H132" s="32">
        <f t="shared" si="15"/>
        <v>38945.828785187885</v>
      </c>
      <c r="I132" s="32">
        <f t="shared" si="15"/>
        <v>38730.101679404834</v>
      </c>
    </row>
    <row r="133" spans="1:9" x14ac:dyDescent="0.2">
      <c r="A133" s="31" t="s">
        <v>52</v>
      </c>
      <c r="B133" s="38"/>
      <c r="C133" s="32">
        <f t="shared" si="14"/>
        <v>43174.224188279215</v>
      </c>
      <c r="D133" s="31"/>
      <c r="E133" s="31" t="s">
        <v>52</v>
      </c>
      <c r="F133" s="34"/>
      <c r="G133" s="32">
        <f t="shared" si="15"/>
        <v>49015.534184622287</v>
      </c>
      <c r="H133" s="32">
        <f t="shared" si="15"/>
        <v>48746.242880531805</v>
      </c>
      <c r="I133" s="32">
        <f t="shared" si="15"/>
        <v>48476.95157644133</v>
      </c>
    </row>
    <row r="134" spans="1:9" x14ac:dyDescent="0.2">
      <c r="A134" s="31" t="s">
        <v>53</v>
      </c>
      <c r="B134" s="38"/>
      <c r="C134" s="32">
        <f t="shared" si="14"/>
        <v>60176.844065762634</v>
      </c>
      <c r="D134" s="31"/>
      <c r="E134" s="31" t="s">
        <v>53</v>
      </c>
      <c r="F134" s="34"/>
      <c r="G134" s="32">
        <f t="shared" si="15"/>
        <v>68196.572939653648</v>
      </c>
      <c r="H134" s="32">
        <f t="shared" si="15"/>
        <v>67823.441032041461</v>
      </c>
      <c r="I134" s="32">
        <f t="shared" si="15"/>
        <v>67450.309124429303</v>
      </c>
    </row>
    <row r="135" spans="1:9" x14ac:dyDescent="0.2">
      <c r="A135" s="31" t="s">
        <v>54</v>
      </c>
      <c r="B135" s="38"/>
      <c r="C135" s="32">
        <f t="shared" si="14"/>
        <v>75603.123964958591</v>
      </c>
      <c r="D135" s="31"/>
      <c r="E135" s="31" t="s">
        <v>54</v>
      </c>
      <c r="F135" s="34"/>
      <c r="G135" s="32">
        <f t="shared" si="15"/>
        <v>85534.047178451685</v>
      </c>
      <c r="H135" s="32">
        <f t="shared" si="15"/>
        <v>85067.884400526033</v>
      </c>
      <c r="I135" s="32">
        <f t="shared" si="15"/>
        <v>84601.721622600395</v>
      </c>
    </row>
    <row r="136" spans="1:9" x14ac:dyDescent="0.2">
      <c r="A136" s="31" t="s">
        <v>55</v>
      </c>
      <c r="B136" s="38"/>
      <c r="C136" s="32">
        <f t="shared" si="14"/>
        <v>89738.321252850103</v>
      </c>
      <c r="D136" s="31"/>
      <c r="E136" s="31" t="s">
        <v>55</v>
      </c>
      <c r="F136" s="34"/>
      <c r="G136" s="32">
        <f t="shared" si="15"/>
        <v>101396.39271821245</v>
      </c>
      <c r="H136" s="32">
        <f t="shared" si="15"/>
        <v>100845.42169906724</v>
      </c>
      <c r="I136" s="32">
        <f t="shared" si="15"/>
        <v>100294.45067992204</v>
      </c>
    </row>
    <row r="137" spans="1:9" x14ac:dyDescent="0.2">
      <c r="A137" s="31" t="s">
        <v>59</v>
      </c>
      <c r="B137" s="38"/>
      <c r="C137" s="32">
        <f t="shared" si="14"/>
        <v>152662</v>
      </c>
      <c r="D137" s="31"/>
      <c r="E137" s="31" t="s">
        <v>59</v>
      </c>
      <c r="F137" s="34"/>
      <c r="G137" s="32">
        <f t="shared" si="15"/>
        <v>171633.40379827115</v>
      </c>
      <c r="H137" s="32">
        <f t="shared" si="15"/>
        <v>170711.70189913557</v>
      </c>
      <c r="I137" s="32">
        <f t="shared" si="15"/>
        <v>169790</v>
      </c>
    </row>
    <row r="138" spans="1:9" x14ac:dyDescent="0.2">
      <c r="A138" s="31"/>
      <c r="B138" s="38"/>
      <c r="C138" s="38"/>
      <c r="D138" s="31"/>
      <c r="E138" s="31"/>
      <c r="F138" s="34"/>
      <c r="G138" s="45"/>
      <c r="H138" s="45"/>
      <c r="I138" s="56"/>
    </row>
    <row r="139" spans="1:9" x14ac:dyDescent="0.2">
      <c r="A139" s="21" t="s">
        <v>60</v>
      </c>
      <c r="B139" s="38"/>
      <c r="C139" s="62"/>
      <c r="D139" s="31"/>
      <c r="E139" s="31"/>
      <c r="F139" s="34"/>
      <c r="G139" s="45"/>
      <c r="H139" s="45"/>
      <c r="I139" s="56"/>
    </row>
    <row r="140" spans="1:9" x14ac:dyDescent="0.2">
      <c r="A140" s="21" t="s">
        <v>49</v>
      </c>
      <c r="B140" s="38"/>
      <c r="C140" s="62"/>
      <c r="D140" s="31"/>
      <c r="E140" s="31"/>
      <c r="F140" s="34"/>
      <c r="G140" s="45"/>
      <c r="H140" s="45"/>
      <c r="I140" s="56"/>
    </row>
    <row r="141" spans="1:9" x14ac:dyDescent="0.2">
      <c r="A141" s="31" t="s">
        <v>50</v>
      </c>
      <c r="B141" s="38"/>
      <c r="C141" s="38">
        <f>C113/C119</f>
        <v>5.4788951085190184E-2</v>
      </c>
      <c r="D141" s="38">
        <v>7.1455979535280323E-2</v>
      </c>
      <c r="E141" s="43">
        <f>+C141-D141</f>
        <v>-1.6667028450090139E-2</v>
      </c>
      <c r="F141" s="43">
        <f t="shared" ref="F141:F146" si="16">+E141/C141</f>
        <v>-0.30420418934786558</v>
      </c>
      <c r="G141" s="45"/>
      <c r="H141" s="45"/>
      <c r="I141" s="56"/>
    </row>
    <row r="142" spans="1:9" x14ac:dyDescent="0.2">
      <c r="A142" s="31" t="s">
        <v>51</v>
      </c>
      <c r="B142" s="38"/>
      <c r="C142" s="38">
        <f>C114/C119</f>
        <v>0.12984832070780686</v>
      </c>
      <c r="D142" s="38">
        <v>0.16419739927520785</v>
      </c>
      <c r="E142" s="43">
        <f t="shared" ref="E142:E147" si="17">+C142-D142</f>
        <v>-3.4349078567400992E-2</v>
      </c>
      <c r="F142" s="43">
        <f t="shared" si="16"/>
        <v>-0.26453232802829635</v>
      </c>
      <c r="G142" s="45"/>
      <c r="H142" s="45"/>
      <c r="I142" s="56"/>
    </row>
    <row r="143" spans="1:9" x14ac:dyDescent="0.2">
      <c r="A143" s="31" t="s">
        <v>52</v>
      </c>
      <c r="B143" s="38"/>
      <c r="C143" s="38">
        <f>C115/C119</f>
        <v>0.17553753056004506</v>
      </c>
      <c r="D143" s="38">
        <v>0.21979322106160734</v>
      </c>
      <c r="E143" s="43">
        <f t="shared" si="17"/>
        <v>-4.4255690501562278E-2</v>
      </c>
      <c r="F143" s="43">
        <f t="shared" si="16"/>
        <v>-0.25211526196344664</v>
      </c>
      <c r="G143" s="45"/>
      <c r="H143" s="45"/>
      <c r="I143" s="56"/>
    </row>
    <row r="144" spans="1:9" x14ac:dyDescent="0.2">
      <c r="A144" s="31" t="s">
        <v>53</v>
      </c>
      <c r="B144" s="38"/>
      <c r="C144" s="38">
        <f>C116/C119</f>
        <v>0.27215304375712368</v>
      </c>
      <c r="D144" s="38">
        <v>0.34309315710935834</v>
      </c>
      <c r="E144" s="43">
        <f t="shared" si="17"/>
        <v>-7.0940113352234657E-2</v>
      </c>
      <c r="F144" s="43">
        <f t="shared" si="16"/>
        <v>-0.26066257563352269</v>
      </c>
      <c r="G144" s="45"/>
      <c r="H144" s="45"/>
      <c r="I144" s="56"/>
    </row>
    <row r="145" spans="1:9" x14ac:dyDescent="0.2">
      <c r="A145" s="31" t="s">
        <v>54</v>
      </c>
      <c r="B145" s="38"/>
      <c r="C145" s="38">
        <f>C117/C119</f>
        <v>0.37451751650723275</v>
      </c>
      <c r="D145" s="38">
        <v>0.47697719036452779</v>
      </c>
      <c r="E145" s="43">
        <f t="shared" si="17"/>
        <v>-0.10245967385729504</v>
      </c>
      <c r="F145" s="43">
        <f t="shared" si="16"/>
        <v>-0.27357778833107349</v>
      </c>
      <c r="G145" s="45"/>
      <c r="H145" s="45"/>
      <c r="I145" s="56"/>
    </row>
    <row r="146" spans="1:9" x14ac:dyDescent="0.2">
      <c r="A146" s="31" t="s">
        <v>55</v>
      </c>
      <c r="B146" s="38"/>
      <c r="C146" s="38">
        <f>C118/C119</f>
        <v>0.47374367631067804</v>
      </c>
      <c r="D146" s="38">
        <v>0.70605414623747598</v>
      </c>
      <c r="E146" s="43">
        <f t="shared" si="17"/>
        <v>-0.23231046992679794</v>
      </c>
      <c r="F146" s="43">
        <f t="shared" si="16"/>
        <v>-0.49037165358266488</v>
      </c>
      <c r="G146" s="45"/>
      <c r="H146" s="45"/>
      <c r="I146" s="56"/>
    </row>
    <row r="147" spans="1:9" x14ac:dyDescent="0.2">
      <c r="A147" s="31" t="s">
        <v>56</v>
      </c>
      <c r="B147" s="38"/>
      <c r="C147" s="38">
        <f>C119/C119</f>
        <v>1</v>
      </c>
      <c r="D147" s="38">
        <v>1</v>
      </c>
      <c r="E147" s="43">
        <f t="shared" si="17"/>
        <v>0</v>
      </c>
      <c r="F147" s="37"/>
      <c r="G147" s="45"/>
      <c r="H147" s="45"/>
      <c r="I147" s="56"/>
    </row>
    <row r="148" spans="1:9" x14ac:dyDescent="0.2">
      <c r="A148" s="31"/>
      <c r="B148" s="38"/>
      <c r="C148" s="38"/>
      <c r="D148" s="38"/>
      <c r="E148" s="31"/>
      <c r="F148" s="37"/>
      <c r="G148" s="45"/>
      <c r="H148" s="45"/>
      <c r="I148" s="56"/>
    </row>
    <row r="149" spans="1:9" x14ac:dyDescent="0.2">
      <c r="A149" s="21" t="s">
        <v>0</v>
      </c>
      <c r="B149" s="38"/>
      <c r="C149" s="38"/>
      <c r="D149" s="38"/>
      <c r="E149" s="31"/>
      <c r="F149" s="37"/>
      <c r="G149" s="45"/>
      <c r="H149" s="45"/>
      <c r="I149" s="56"/>
    </row>
    <row r="150" spans="1:9" x14ac:dyDescent="0.2">
      <c r="A150" s="31" t="s">
        <v>50</v>
      </c>
      <c r="B150" s="38"/>
      <c r="C150" s="38">
        <f>C122/C128</f>
        <v>0.26008874845952074</v>
      </c>
      <c r="D150" s="38">
        <v>0.2568776537967809</v>
      </c>
      <c r="E150" s="43">
        <f>+C150-D150</f>
        <v>3.2110946627398329E-3</v>
      </c>
      <c r="F150" s="43">
        <f t="shared" ref="F150:F155" si="18">+E150/C150</f>
        <v>1.2346149849844796E-2</v>
      </c>
      <c r="G150" s="45"/>
      <c r="H150" s="45"/>
      <c r="I150" s="56"/>
    </row>
    <row r="151" spans="1:9" x14ac:dyDescent="0.2">
      <c r="A151" s="31" t="s">
        <v>51</v>
      </c>
      <c r="B151" s="38"/>
      <c r="C151" s="38">
        <f>C123/C128</f>
        <v>0.43115293387208203</v>
      </c>
      <c r="D151" s="38">
        <v>0.45954379381850496</v>
      </c>
      <c r="E151" s="43">
        <f t="shared" ref="E151:E156" si="19">+C151-D151</f>
        <v>-2.8390859946422931E-2</v>
      </c>
      <c r="F151" s="43">
        <f t="shared" si="18"/>
        <v>-6.5848699419603543E-2</v>
      </c>
      <c r="G151" s="45"/>
      <c r="H151" s="45"/>
      <c r="I151" s="56"/>
    </row>
    <row r="152" spans="1:9" x14ac:dyDescent="0.2">
      <c r="A152" s="31" t="s">
        <v>52</v>
      </c>
      <c r="B152" s="38"/>
      <c r="C152" s="38">
        <f>C124/C128</f>
        <v>0.51276933587545481</v>
      </c>
      <c r="D152" s="38">
        <v>0.54879036239755108</v>
      </c>
      <c r="E152" s="43">
        <f t="shared" si="19"/>
        <v>-3.6021026522096267E-2</v>
      </c>
      <c r="F152" s="43">
        <f t="shared" si="18"/>
        <v>-7.0248012121468431E-2</v>
      </c>
      <c r="G152" s="45"/>
      <c r="H152" s="45"/>
      <c r="I152" s="56"/>
    </row>
    <row r="153" spans="1:9" x14ac:dyDescent="0.2">
      <c r="A153" s="31" t="s">
        <v>53</v>
      </c>
      <c r="B153" s="38"/>
      <c r="C153" s="38">
        <f>C125/C128</f>
        <v>0.65578221324936281</v>
      </c>
      <c r="D153" s="38">
        <v>0.70151081267897697</v>
      </c>
      <c r="E153" s="43">
        <f t="shared" si="19"/>
        <v>-4.5728599429614158E-2</v>
      </c>
      <c r="F153" s="43">
        <f t="shared" si="18"/>
        <v>-6.9731381098355208E-2</v>
      </c>
      <c r="G153" s="45"/>
      <c r="H153" s="45"/>
      <c r="I153" s="56"/>
    </row>
    <row r="154" spans="1:9" x14ac:dyDescent="0.2">
      <c r="A154" s="31" t="s">
        <v>54</v>
      </c>
      <c r="B154" s="38"/>
      <c r="C154" s="38">
        <f>C126/C128</f>
        <v>0.75400992522887011</v>
      </c>
      <c r="D154" s="38">
        <v>0.80639873605213785</v>
      </c>
      <c r="E154" s="43">
        <f t="shared" si="19"/>
        <v>-5.238881082326774E-2</v>
      </c>
      <c r="F154" s="43">
        <f t="shared" si="18"/>
        <v>-6.9480266864346357E-2</v>
      </c>
      <c r="G154" s="45"/>
      <c r="H154" s="45"/>
      <c r="I154" s="56"/>
    </row>
    <row r="155" spans="1:9" x14ac:dyDescent="0.2">
      <c r="A155" s="31" t="s">
        <v>55</v>
      </c>
      <c r="B155" s="38"/>
      <c r="C155" s="38">
        <f>C127/C128</f>
        <v>0.83237846842594276</v>
      </c>
      <c r="D155" s="38">
        <v>0.92925841809025378</v>
      </c>
      <c r="E155" s="43">
        <f t="shared" si="19"/>
        <v>-9.6879949664311016E-2</v>
      </c>
      <c r="F155" s="43">
        <f t="shared" si="18"/>
        <v>-0.11638930287026097</v>
      </c>
      <c r="G155" s="45"/>
      <c r="H155" s="45"/>
      <c r="I155" s="56"/>
    </row>
    <row r="156" spans="1:9" x14ac:dyDescent="0.2">
      <c r="A156" s="31" t="s">
        <v>57</v>
      </c>
      <c r="B156" s="38"/>
      <c r="C156" s="38">
        <f>C128/C128</f>
        <v>1</v>
      </c>
      <c r="D156" s="38">
        <v>1</v>
      </c>
      <c r="E156" s="43">
        <f t="shared" si="19"/>
        <v>0</v>
      </c>
      <c r="F156" s="37"/>
      <c r="G156" s="45"/>
      <c r="H156" s="45"/>
      <c r="I156" s="56"/>
    </row>
    <row r="157" spans="1:9" x14ac:dyDescent="0.2">
      <c r="A157" s="31"/>
      <c r="B157" s="38"/>
      <c r="C157" s="38"/>
      <c r="D157" s="38"/>
      <c r="E157" s="31"/>
      <c r="F157" s="37"/>
      <c r="G157" s="45"/>
      <c r="H157" s="45"/>
      <c r="I157" s="56"/>
    </row>
    <row r="158" spans="1:9" x14ac:dyDescent="0.2">
      <c r="A158" s="21" t="s">
        <v>58</v>
      </c>
      <c r="B158" s="38"/>
      <c r="C158" s="38"/>
      <c r="D158" s="38"/>
      <c r="E158" s="31"/>
      <c r="F158" s="37"/>
      <c r="G158" s="45"/>
      <c r="H158" s="45"/>
      <c r="I158" s="56"/>
    </row>
    <row r="159" spans="1:9" x14ac:dyDescent="0.2">
      <c r="A159" s="31" t="s">
        <v>50</v>
      </c>
      <c r="B159" s="38"/>
      <c r="C159" s="38">
        <f>C131/C137</f>
        <v>0.1200937647277133</v>
      </c>
      <c r="D159" s="38">
        <v>0.1364507978263127</v>
      </c>
      <c r="E159" s="43">
        <f>+C159-D159</f>
        <v>-1.6357033098599399E-2</v>
      </c>
      <c r="F159" s="43">
        <f t="shared" ref="F159:F164" si="20">+E159/C159</f>
        <v>-0.13620218448214563</v>
      </c>
      <c r="G159" s="45"/>
      <c r="H159" s="45"/>
      <c r="I159" s="56"/>
    </row>
    <row r="160" spans="1:9" x14ac:dyDescent="0.2">
      <c r="A160" s="31" t="s">
        <v>51</v>
      </c>
      <c r="B160" s="38"/>
      <c r="C160" s="38">
        <f>C132/C137</f>
        <v>0.22569177434964544</v>
      </c>
      <c r="D160" s="38">
        <v>0.26772351251254717</v>
      </c>
      <c r="E160" s="43">
        <f t="shared" ref="E160:E165" si="21">+C160-D160</f>
        <v>-4.2031738162901733E-2</v>
      </c>
      <c r="F160" s="43">
        <f t="shared" si="20"/>
        <v>-0.18623513543646242</v>
      </c>
      <c r="G160" s="45"/>
      <c r="H160" s="45"/>
      <c r="I160" s="56"/>
    </row>
    <row r="161" spans="1:9" x14ac:dyDescent="0.2">
      <c r="A161" s="31" t="s">
        <v>52</v>
      </c>
      <c r="B161" s="38"/>
      <c r="C161" s="38">
        <f>C133/C137</f>
        <v>0.28280923994366125</v>
      </c>
      <c r="D161" s="38">
        <v>0.33511474161503585</v>
      </c>
      <c r="E161" s="43">
        <f t="shared" si="21"/>
        <v>-5.2305501671374599E-2</v>
      </c>
      <c r="F161" s="43">
        <f t="shared" si="20"/>
        <v>-0.18494976218526113</v>
      </c>
      <c r="G161" s="45"/>
      <c r="H161" s="45"/>
      <c r="I161" s="56"/>
    </row>
    <row r="162" spans="1:9" x14ac:dyDescent="0.2">
      <c r="A162" s="31" t="s">
        <v>53</v>
      </c>
      <c r="B162" s="38"/>
      <c r="C162" s="38">
        <f>C134/C137</f>
        <v>0.39418351695747883</v>
      </c>
      <c r="D162" s="38">
        <v>0.46872728531376551</v>
      </c>
      <c r="E162" s="43">
        <f t="shared" si="21"/>
        <v>-7.4543768356286677E-2</v>
      </c>
      <c r="F162" s="43">
        <f t="shared" si="20"/>
        <v>-0.18910929845990446</v>
      </c>
      <c r="G162" s="45"/>
      <c r="H162" s="45"/>
      <c r="I162" s="56"/>
    </row>
    <row r="163" spans="1:9" x14ac:dyDescent="0.2">
      <c r="A163" s="31" t="s">
        <v>54</v>
      </c>
      <c r="B163" s="38"/>
      <c r="C163" s="38">
        <f>C135/C137</f>
        <v>0.4952321073021354</v>
      </c>
      <c r="D163" s="38">
        <v>0.59244747499221206</v>
      </c>
      <c r="E163" s="43">
        <f t="shared" si="21"/>
        <v>-9.7215367690076659E-2</v>
      </c>
      <c r="F163" s="43">
        <f t="shared" si="20"/>
        <v>-0.19630263518186369</v>
      </c>
      <c r="G163" s="45"/>
      <c r="H163" s="45"/>
      <c r="I163" s="56"/>
    </row>
    <row r="164" spans="1:9" x14ac:dyDescent="0.2">
      <c r="A164" s="31" t="s">
        <v>55</v>
      </c>
      <c r="B164" s="38"/>
      <c r="C164" s="38">
        <f>C136/C137</f>
        <v>0.58782356613204401</v>
      </c>
      <c r="D164" s="38">
        <v>0.7842926863036932</v>
      </c>
      <c r="E164" s="43">
        <f t="shared" si="21"/>
        <v>-0.19646912017164919</v>
      </c>
      <c r="F164" s="43">
        <f t="shared" si="20"/>
        <v>-0.33423144543938876</v>
      </c>
      <c r="G164" s="45"/>
      <c r="H164" s="45"/>
      <c r="I164" s="56"/>
    </row>
    <row r="165" spans="1:9" x14ac:dyDescent="0.2">
      <c r="A165" s="31" t="s">
        <v>59</v>
      </c>
      <c r="B165" s="38"/>
      <c r="C165" s="38">
        <f>C137/C137</f>
        <v>1</v>
      </c>
      <c r="D165" s="38">
        <v>1</v>
      </c>
      <c r="E165" s="43">
        <f t="shared" si="21"/>
        <v>0</v>
      </c>
      <c r="F165" s="34"/>
      <c r="G165" s="45"/>
      <c r="H165" s="45"/>
      <c r="I165" s="56"/>
    </row>
    <row r="166" spans="1:9" x14ac:dyDescent="0.2">
      <c r="A166" s="21"/>
      <c r="B166" s="38"/>
      <c r="C166" s="38"/>
      <c r="D166" s="31"/>
      <c r="E166" s="31"/>
      <c r="F166" s="31"/>
      <c r="G166" s="31"/>
      <c r="H166" s="31"/>
      <c r="I166" s="31"/>
    </row>
  </sheetData>
  <mergeCells count="1">
    <mergeCell ref="I2:I21"/>
  </mergeCells>
  <phoneticPr fontId="0" type="noConversion"/>
  <printOptions horizontalCentered="1" verticalCentered="1"/>
  <pageMargins left="0.75" right="0.75" top="0.75" bottom="0.75" header="0.5" footer="0.5"/>
  <pageSetup scale="70" orientation="landscape" horizontalDpi="4294967293" verticalDpi="300" r:id="rId1"/>
  <headerFooter alignWithMargins="0">
    <oddFooter>&amp;R&amp;P of &amp;N</oddFooter>
  </headerFooter>
  <rowBreaks count="4" manualBreakCount="4">
    <brk id="43" max="8" man="1"/>
    <brk id="77" max="8" man="1"/>
    <brk id="108" max="16383" man="1"/>
    <brk id="13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topLeftCell="A49" zoomScaleNormal="100" workbookViewId="0">
      <selection activeCell="H150" sqref="H150:H160"/>
    </sheetView>
  </sheetViews>
  <sheetFormatPr defaultRowHeight="15" x14ac:dyDescent="0.25"/>
  <cols>
    <col min="1" max="1" width="55.7109375" style="1" customWidth="1"/>
    <col min="2" max="2" width="10.85546875" style="1" bestFit="1" customWidth="1"/>
    <col min="3" max="3" width="10.42578125" style="1" bestFit="1" customWidth="1"/>
    <col min="4" max="6" width="11.7109375" style="1" customWidth="1"/>
    <col min="7" max="9" width="15.7109375" style="1" customWidth="1"/>
    <col min="10" max="16384" width="9.140625" style="1"/>
  </cols>
  <sheetData>
    <row r="1" spans="1:13" ht="74.25" customHeight="1" x14ac:dyDescent="0.25">
      <c r="A1" s="171" t="s">
        <v>6</v>
      </c>
      <c r="B1" s="172">
        <v>1990</v>
      </c>
      <c r="C1" s="172">
        <v>2000</v>
      </c>
      <c r="D1" s="138" t="s">
        <v>80</v>
      </c>
      <c r="E1" s="137">
        <v>2010</v>
      </c>
      <c r="F1" s="138" t="s">
        <v>182</v>
      </c>
      <c r="G1" s="137" t="s">
        <v>183</v>
      </c>
      <c r="H1" s="137" t="s">
        <v>213</v>
      </c>
      <c r="I1" s="173" t="s">
        <v>184</v>
      </c>
      <c r="J1"/>
      <c r="K1"/>
      <c r="L1"/>
    </row>
    <row r="2" spans="1:13" ht="12.75" customHeight="1" x14ac:dyDescent="0.25">
      <c r="A2" s="37" t="s">
        <v>28</v>
      </c>
      <c r="B2" s="40">
        <v>42508</v>
      </c>
      <c r="C2" s="40">
        <v>55199</v>
      </c>
      <c r="D2" s="40">
        <f>C2-B2</f>
        <v>12691</v>
      </c>
      <c r="E2" s="217">
        <v>55306</v>
      </c>
      <c r="F2" s="70">
        <f>E2-C2</f>
        <v>107</v>
      </c>
      <c r="G2" s="37" t="s">
        <v>196</v>
      </c>
      <c r="H2" s="37"/>
      <c r="I2" s="253" t="s">
        <v>170</v>
      </c>
      <c r="K2" s="217" t="s">
        <v>181</v>
      </c>
      <c r="L2"/>
    </row>
    <row r="3" spans="1:13" ht="12.75" customHeight="1" x14ac:dyDescent="0.25">
      <c r="A3" s="37" t="s">
        <v>33</v>
      </c>
      <c r="B3" s="43">
        <f>B2/'STATE TOTALS'!$B$2</f>
        <v>9.8855584056781257E-2</v>
      </c>
      <c r="C3" s="43">
        <f>C2/'STATE TOTALS'!$C$2</f>
        <v>0.10424661570073125</v>
      </c>
      <c r="D3" s="43">
        <f>D2/'STATE TOTALS'!$D$2</f>
        <v>0.12754389314895029</v>
      </c>
      <c r="E3" s="43">
        <f>E2/'STATE TOTALS'!$E$2</f>
        <v>0.1077281182738101</v>
      </c>
      <c r="F3" s="43">
        <f>F2/'STATE TOTALS'!$F$2</f>
        <v>-6.6381289161858677E-3</v>
      </c>
      <c r="G3" s="37" t="s">
        <v>40</v>
      </c>
      <c r="H3" s="37"/>
      <c r="I3" s="254"/>
      <c r="J3"/>
      <c r="K3"/>
      <c r="L3"/>
    </row>
    <row r="4" spans="1:13" ht="12.75" customHeight="1" x14ac:dyDescent="0.25">
      <c r="A4" s="37" t="s">
        <v>29</v>
      </c>
      <c r="B4" s="139">
        <v>12014</v>
      </c>
      <c r="C4" s="40">
        <v>15222</v>
      </c>
      <c r="D4" s="40">
        <f>C4-B4</f>
        <v>3208</v>
      </c>
      <c r="E4" s="40">
        <f>E5-E2</f>
        <v>16576</v>
      </c>
      <c r="F4" s="40">
        <f>E4-C4</f>
        <v>1354</v>
      </c>
      <c r="G4" s="166" t="s">
        <v>188</v>
      </c>
      <c r="H4" s="166" t="s">
        <v>34</v>
      </c>
      <c r="I4" s="254"/>
      <c r="J4"/>
      <c r="K4"/>
      <c r="L4"/>
    </row>
    <row r="5" spans="1:13" ht="12.75" customHeight="1" x14ac:dyDescent="0.25">
      <c r="A5" s="37" t="s">
        <v>30</v>
      </c>
      <c r="B5" s="139">
        <v>54522</v>
      </c>
      <c r="C5" s="40">
        <v>70421</v>
      </c>
      <c r="D5" s="40">
        <f>C5-B5</f>
        <v>15899</v>
      </c>
      <c r="E5" s="217">
        <v>71882</v>
      </c>
      <c r="F5" s="70">
        <f>E5-C5</f>
        <v>1461</v>
      </c>
      <c r="G5" s="217">
        <v>81337</v>
      </c>
      <c r="H5" s="194">
        <f>(E5-B5)/('STATE TOTALS'!E5-'STATE TOTALS'!B5)*('STATE TOTALS'!G5-'STATE TOTALS'!E5)+E5</f>
        <v>81831.494010778697</v>
      </c>
      <c r="I5" s="254"/>
      <c r="J5"/>
      <c r="K5"/>
      <c r="L5"/>
    </row>
    <row r="6" spans="1:13" ht="12.75" customHeight="1" x14ac:dyDescent="0.25">
      <c r="A6" s="37" t="s">
        <v>33</v>
      </c>
      <c r="B6" s="43">
        <f>B5/'STATE TOTALS'!$B$5</f>
        <v>0.11004941142275831</v>
      </c>
      <c r="C6" s="43">
        <f>C5/'STATE TOTALS'!$C$5</f>
        <v>0.11622909449215275</v>
      </c>
      <c r="D6" s="43">
        <f>D5/'STATE TOTALS'!$D$5</f>
        <v>0.14394879084464324</v>
      </c>
      <c r="E6" s="43">
        <f>E5/'STATE TOTALS'!$E$5</f>
        <v>0.11971275068531478</v>
      </c>
      <c r="F6" s="43">
        <f>F5/'STATE TOTALS'!$F$5</f>
        <v>-0.26920950801547816</v>
      </c>
      <c r="G6" s="37"/>
      <c r="H6" s="37"/>
      <c r="I6" s="254"/>
      <c r="J6"/>
      <c r="K6"/>
      <c r="L6"/>
    </row>
    <row r="7" spans="1:13" ht="12.75" customHeight="1" x14ac:dyDescent="0.25">
      <c r="A7" s="37"/>
      <c r="B7" s="41"/>
      <c r="C7" s="41"/>
      <c r="D7" s="41"/>
      <c r="E7" s="141"/>
      <c r="F7" s="37"/>
      <c r="G7" s="37"/>
      <c r="H7" s="37"/>
      <c r="I7" s="254"/>
      <c r="J7"/>
      <c r="K7" t="s">
        <v>189</v>
      </c>
      <c r="L7"/>
    </row>
    <row r="8" spans="1:13" ht="12.75" customHeight="1" x14ac:dyDescent="0.25">
      <c r="A8" s="37" t="s">
        <v>92</v>
      </c>
      <c r="B8" s="139">
        <v>60263</v>
      </c>
      <c r="C8" s="40">
        <v>75470</v>
      </c>
      <c r="D8" s="40">
        <f>C8-B8</f>
        <v>15207</v>
      </c>
      <c r="E8" s="217">
        <v>80250</v>
      </c>
      <c r="F8" s="70">
        <f>E8-C8</f>
        <v>4780</v>
      </c>
      <c r="G8" s="40">
        <f>G5*G9</f>
        <v>87168.648414535448</v>
      </c>
      <c r="H8" s="40">
        <f>H5*H9</f>
        <v>87698.596341907512</v>
      </c>
      <c r="I8" s="254"/>
      <c r="J8"/>
      <c r="K8" s="220" t="s">
        <v>192</v>
      </c>
      <c r="L8" s="220"/>
      <c r="M8" s="220"/>
    </row>
    <row r="9" spans="1:13" ht="12.75" customHeight="1" x14ac:dyDescent="0.25">
      <c r="A9" s="37" t="s">
        <v>173</v>
      </c>
      <c r="B9" s="191">
        <f>B8/B5</f>
        <v>1.1052969443527383</v>
      </c>
      <c r="C9" s="191">
        <f>C8/C5</f>
        <v>1.0716973630025135</v>
      </c>
      <c r="D9" s="191"/>
      <c r="E9" s="198">
        <f>E8/E5</f>
        <v>1.1164130102111793</v>
      </c>
      <c r="F9" s="199" t="s">
        <v>45</v>
      </c>
      <c r="G9" s="200">
        <f>+C9</f>
        <v>1.0716973630025135</v>
      </c>
      <c r="H9" s="201">
        <f>G9</f>
        <v>1.0716973630025135</v>
      </c>
      <c r="I9" s="254"/>
      <c r="J9"/>
      <c r="K9"/>
      <c r="L9"/>
    </row>
    <row r="10" spans="1:13" ht="12.75" customHeight="1" x14ac:dyDescent="0.25">
      <c r="A10" s="37"/>
      <c r="B10" s="41"/>
      <c r="C10" s="41"/>
      <c r="D10" s="41"/>
      <c r="E10" s="141"/>
      <c r="F10" s="37"/>
      <c r="G10" s="37" t="s">
        <v>226</v>
      </c>
      <c r="H10" s="37"/>
      <c r="I10" s="254"/>
      <c r="J10"/>
      <c r="K10"/>
      <c r="L10"/>
    </row>
    <row r="11" spans="1:13" ht="12.75" customHeight="1" x14ac:dyDescent="0.25">
      <c r="A11" s="37" t="s">
        <v>123</v>
      </c>
      <c r="B11" s="149">
        <f>B13/B8</f>
        <v>1.0030366891790983</v>
      </c>
      <c r="C11" s="149">
        <f>C13/C8</f>
        <v>0.92322777262488409</v>
      </c>
      <c r="D11" s="41"/>
      <c r="E11" s="200">
        <f>E13/E8</f>
        <v>0.93709657320872275</v>
      </c>
      <c r="F11" s="202" t="s">
        <v>45</v>
      </c>
      <c r="G11" s="200">
        <f>E11</f>
        <v>0.93709657320872275</v>
      </c>
      <c r="H11" s="201">
        <f>G11</f>
        <v>0.93709657320872275</v>
      </c>
      <c r="I11" s="254"/>
      <c r="J11"/>
      <c r="K11"/>
      <c r="L11"/>
    </row>
    <row r="12" spans="1:13" ht="12.75" customHeight="1" x14ac:dyDescent="0.25">
      <c r="A12" s="37"/>
      <c r="B12" s="41"/>
      <c r="C12" s="41"/>
      <c r="D12" s="41"/>
      <c r="E12" s="141"/>
      <c r="F12" s="37"/>
      <c r="G12" s="37"/>
      <c r="H12" s="37"/>
      <c r="I12" s="254"/>
      <c r="J12"/>
      <c r="K12"/>
      <c r="L12"/>
    </row>
    <row r="13" spans="1:13" ht="12.75" customHeight="1" x14ac:dyDescent="0.25">
      <c r="A13" s="37" t="s">
        <v>124</v>
      </c>
      <c r="B13" s="139">
        <v>60446</v>
      </c>
      <c r="C13" s="139">
        <v>69676</v>
      </c>
      <c r="D13" s="40">
        <f>C13-B13</f>
        <v>9230</v>
      </c>
      <c r="E13" s="217">
        <v>75202</v>
      </c>
      <c r="F13" s="70">
        <f>E13-C13</f>
        <v>5526</v>
      </c>
      <c r="G13" s="40">
        <f>G11*G8</f>
        <v>81685.441720497125</v>
      </c>
      <c r="H13" s="40">
        <f>H11*H8</f>
        <v>82182.054107216565</v>
      </c>
      <c r="I13" s="254"/>
      <c r="J13"/>
      <c r="K13"/>
      <c r="L13"/>
    </row>
    <row r="14" spans="1:13" ht="12.75" customHeight="1" x14ac:dyDescent="0.25">
      <c r="A14" s="37" t="s">
        <v>25</v>
      </c>
      <c r="B14" s="139">
        <v>42031</v>
      </c>
      <c r="C14" s="139">
        <v>48051</v>
      </c>
      <c r="D14" s="40">
        <f>C14-B14</f>
        <v>6020</v>
      </c>
      <c r="E14" s="40">
        <v>49612</v>
      </c>
      <c r="F14" s="70">
        <f>E14-C14</f>
        <v>1561</v>
      </c>
      <c r="G14" s="40">
        <f>G13-G15</f>
        <v>53889.233459712559</v>
      </c>
      <c r="H14" s="40">
        <f>H13-H15</f>
        <v>54216.856843797083</v>
      </c>
      <c r="I14" s="254"/>
      <c r="J14"/>
      <c r="K14"/>
      <c r="L14"/>
    </row>
    <row r="15" spans="1:13" ht="12.75" customHeight="1" x14ac:dyDescent="0.25">
      <c r="A15" s="37" t="s">
        <v>26</v>
      </c>
      <c r="B15" s="139">
        <f>B13-B14</f>
        <v>18415</v>
      </c>
      <c r="C15" s="139">
        <f>C13-C14</f>
        <v>21625</v>
      </c>
      <c r="D15" s="40">
        <f>C15-B15</f>
        <v>3210</v>
      </c>
      <c r="E15" s="139">
        <f>E13-E14</f>
        <v>25590</v>
      </c>
      <c r="F15" s="70">
        <f>E15-C15</f>
        <v>3965</v>
      </c>
      <c r="G15" s="40">
        <f>G16*G13</f>
        <v>27796.20826078457</v>
      </c>
      <c r="H15" s="40">
        <f>H16*H13</f>
        <v>27965.197263419483</v>
      </c>
      <c r="I15" s="254"/>
      <c r="J15"/>
      <c r="K15"/>
      <c r="L15"/>
    </row>
    <row r="16" spans="1:13" ht="12.75" customHeight="1" x14ac:dyDescent="0.25">
      <c r="A16" s="37" t="s">
        <v>27</v>
      </c>
      <c r="B16" s="43">
        <f>B15/B13</f>
        <v>0.30465208615954736</v>
      </c>
      <c r="C16" s="43">
        <f>C15/C13</f>
        <v>0.31036511854871118</v>
      </c>
      <c r="D16" s="37" t="s">
        <v>180</v>
      </c>
      <c r="E16" s="204">
        <f>E15/E13</f>
        <v>0.34028350309832184</v>
      </c>
      <c r="F16" s="202" t="s">
        <v>45</v>
      </c>
      <c r="G16" s="203">
        <f>E16</f>
        <v>0.34028350309832184</v>
      </c>
      <c r="H16" s="204">
        <f>G16</f>
        <v>0.34028350309832184</v>
      </c>
      <c r="I16" s="254"/>
      <c r="J16"/>
      <c r="K16"/>
      <c r="L16"/>
    </row>
    <row r="17" spans="1:13" ht="12.75" customHeight="1" x14ac:dyDescent="0.25">
      <c r="A17" s="37"/>
      <c r="B17" s="41"/>
      <c r="C17" s="41"/>
      <c r="D17" s="41"/>
      <c r="E17" s="141"/>
      <c r="F17" s="37"/>
      <c r="G17" s="37"/>
      <c r="H17" s="37"/>
      <c r="I17" s="254"/>
      <c r="J17"/>
      <c r="K17"/>
      <c r="L17"/>
    </row>
    <row r="18" spans="1:13" ht="12.75" customHeight="1" x14ac:dyDescent="0.25">
      <c r="A18" s="37" t="s">
        <v>31</v>
      </c>
      <c r="B18" s="41">
        <f>B2/B55</f>
        <v>0.95320103150577418</v>
      </c>
      <c r="C18" s="41">
        <f>C2/C55</f>
        <v>1.0647339081457476</v>
      </c>
      <c r="D18" s="41"/>
      <c r="E18" s="41">
        <f>E2/E55</f>
        <v>0.96910757153621052</v>
      </c>
      <c r="F18" s="37"/>
      <c r="G18" s="41"/>
      <c r="H18" s="41"/>
      <c r="I18" s="254"/>
      <c r="J18"/>
      <c r="K18"/>
      <c r="L18"/>
    </row>
    <row r="19" spans="1:13" ht="12.75" customHeight="1" x14ac:dyDescent="0.25">
      <c r="A19" s="37"/>
      <c r="B19" s="40"/>
      <c r="C19" s="40"/>
      <c r="D19" s="37"/>
      <c r="E19" s="37"/>
      <c r="F19" s="37"/>
      <c r="G19" s="37"/>
      <c r="H19" s="37"/>
      <c r="I19" s="254"/>
      <c r="J19"/>
      <c r="K19"/>
      <c r="L19"/>
    </row>
    <row r="20" spans="1:13" ht="12.75" customHeight="1" x14ac:dyDescent="0.25">
      <c r="A20" s="37" t="s">
        <v>128</v>
      </c>
      <c r="B20" s="41">
        <f>B24/B8</f>
        <v>1.7494648457594213</v>
      </c>
      <c r="C20" s="41">
        <f>C24/C8</f>
        <v>1.5807870677090234</v>
      </c>
      <c r="D20" s="37"/>
      <c r="E20" s="41">
        <f>E24/E8</f>
        <v>1.5755389408099689</v>
      </c>
      <c r="F20" s="140" t="s">
        <v>46</v>
      </c>
      <c r="G20" s="205">
        <f>+E20</f>
        <v>1.5755389408099689</v>
      </c>
      <c r="H20" s="41">
        <f>H24/H8</f>
        <v>1.4628185501492816</v>
      </c>
      <c r="I20" s="254"/>
      <c r="J20"/>
      <c r="K20"/>
      <c r="L20"/>
    </row>
    <row r="21" spans="1:13" ht="12.75" customHeight="1" x14ac:dyDescent="0.25">
      <c r="A21" s="37" t="s">
        <v>94</v>
      </c>
      <c r="B21" s="41">
        <f>B29/B8</f>
        <v>0.59270198961219989</v>
      </c>
      <c r="C21" s="41">
        <f>C29/C8</f>
        <v>0.55122565257718303</v>
      </c>
      <c r="D21" s="37"/>
      <c r="E21" s="205">
        <f>E29/E8</f>
        <v>0.55562616822429911</v>
      </c>
      <c r="F21" s="202" t="s">
        <v>45</v>
      </c>
      <c r="G21" s="205">
        <f>AVERAGE(B21:E21)</f>
        <v>0.56651793680456064</v>
      </c>
      <c r="H21" s="206">
        <f>G21</f>
        <v>0.56651793680456064</v>
      </c>
      <c r="I21" s="255"/>
      <c r="J21"/>
      <c r="K21"/>
      <c r="L21"/>
    </row>
    <row r="22" spans="1:13" ht="12.75" customHeight="1" x14ac:dyDescent="0.25">
      <c r="A22" s="37"/>
      <c r="B22" s="37"/>
      <c r="C22" s="37"/>
      <c r="D22" s="37"/>
      <c r="E22" s="37"/>
      <c r="F22" s="37"/>
      <c r="G22" s="37"/>
      <c r="H22" s="37"/>
      <c r="I22" s="161"/>
      <c r="J22"/>
      <c r="K22"/>
      <c r="L22"/>
    </row>
    <row r="23" spans="1:13" ht="12.75" customHeight="1" x14ac:dyDescent="0.25">
      <c r="A23" s="64" t="s">
        <v>98</v>
      </c>
      <c r="B23" s="41"/>
      <c r="C23" s="41"/>
      <c r="D23" s="37"/>
      <c r="E23" s="37"/>
      <c r="F23" s="37"/>
      <c r="G23" s="37"/>
      <c r="H23" s="37"/>
      <c r="I23" s="159"/>
      <c r="J23"/>
      <c r="K23" t="s">
        <v>189</v>
      </c>
      <c r="L23"/>
    </row>
    <row r="24" spans="1:13" ht="12.75" customHeight="1" x14ac:dyDescent="0.25">
      <c r="A24" s="37" t="s">
        <v>99</v>
      </c>
      <c r="B24" s="40">
        <v>105428</v>
      </c>
      <c r="C24" s="40">
        <v>119302</v>
      </c>
      <c r="D24" s="40">
        <f>C24-B24</f>
        <v>13874</v>
      </c>
      <c r="E24" s="217">
        <f>121283+5154</f>
        <v>126437</v>
      </c>
      <c r="F24" s="70">
        <f>E24-C24</f>
        <v>7135</v>
      </c>
      <c r="G24" s="40">
        <f>+G20*G8</f>
        <v>137337.59999487374</v>
      </c>
      <c r="H24" s="40">
        <f>H25+H26</f>
        <v>128287.13355099624</v>
      </c>
      <c r="I24" s="217">
        <f>4964+115309</f>
        <v>120273</v>
      </c>
      <c r="J24"/>
      <c r="K24"/>
      <c r="L24"/>
    </row>
    <row r="25" spans="1:13" ht="12.75" customHeight="1" x14ac:dyDescent="0.25">
      <c r="A25" s="37" t="s">
        <v>97</v>
      </c>
      <c r="B25" s="40">
        <v>3047</v>
      </c>
      <c r="C25" s="40">
        <v>4663</v>
      </c>
      <c r="D25" s="40">
        <f>C25-B25</f>
        <v>1616</v>
      </c>
      <c r="E25" s="217">
        <v>5154</v>
      </c>
      <c r="F25" s="70">
        <f>E25-C25</f>
        <v>491</v>
      </c>
      <c r="G25" s="207">
        <f>I25</f>
        <v>4964</v>
      </c>
      <c r="H25" s="207">
        <f>I25</f>
        <v>4964</v>
      </c>
      <c r="I25" s="217">
        <v>4964</v>
      </c>
      <c r="J25"/>
      <c r="K25" t="s">
        <v>190</v>
      </c>
      <c r="L25"/>
    </row>
    <row r="26" spans="1:13" ht="12.75" customHeight="1" x14ac:dyDescent="0.25">
      <c r="A26" s="37" t="s">
        <v>95</v>
      </c>
      <c r="B26" s="40">
        <f>B24-B25</f>
        <v>102381</v>
      </c>
      <c r="C26" s="40">
        <f>C24-C25</f>
        <v>114639</v>
      </c>
      <c r="D26" s="40">
        <f>C26-B26</f>
        <v>12258</v>
      </c>
      <c r="E26" s="40">
        <f>E24-E25</f>
        <v>121283</v>
      </c>
      <c r="F26" s="70">
        <f>E26-C26</f>
        <v>6644</v>
      </c>
      <c r="G26" s="40">
        <f>G24-G25</f>
        <v>132373.59999487374</v>
      </c>
      <c r="H26" s="154">
        <f>H29*H27</f>
        <v>123323.13355099624</v>
      </c>
      <c r="I26" s="154">
        <f>I24-I25</f>
        <v>115309</v>
      </c>
      <c r="J26" s="3"/>
      <c r="K26"/>
      <c r="L26"/>
    </row>
    <row r="27" spans="1:13" ht="12.75" customHeight="1" x14ac:dyDescent="0.25">
      <c r="A27" s="37" t="s">
        <v>111</v>
      </c>
      <c r="B27" s="142">
        <f>B26/B29</f>
        <v>2.8663698975306566</v>
      </c>
      <c r="C27" s="142">
        <f>C26/C29</f>
        <v>2.7556789500252399</v>
      </c>
      <c r="D27" s="41"/>
      <c r="E27" s="142">
        <f>E26/E29</f>
        <v>2.7200206328915204</v>
      </c>
      <c r="F27" s="37"/>
      <c r="G27" s="142">
        <f>G26/G29</f>
        <v>2.6805715443281377</v>
      </c>
      <c r="H27" s="208">
        <f>I27</f>
        <v>2.6595857551434636</v>
      </c>
      <c r="I27" s="208">
        <f>I26/I29</f>
        <v>2.6595857551434636</v>
      </c>
      <c r="J27"/>
      <c r="K27"/>
      <c r="L27"/>
    </row>
    <row r="28" spans="1:13" ht="12.75" customHeight="1" x14ac:dyDescent="0.25">
      <c r="A28" s="37"/>
      <c r="B28" s="40"/>
      <c r="C28" s="40"/>
      <c r="D28" s="37"/>
      <c r="E28" s="37"/>
      <c r="F28" s="37"/>
      <c r="G28" s="159"/>
      <c r="H28" s="159"/>
      <c r="I28" s="159"/>
      <c r="J28"/>
      <c r="K28"/>
      <c r="L28"/>
    </row>
    <row r="29" spans="1:13" ht="12.75" customHeight="1" x14ac:dyDescent="0.25">
      <c r="A29" s="37" t="s">
        <v>100</v>
      </c>
      <c r="B29" s="40">
        <v>35718</v>
      </c>
      <c r="C29" s="40">
        <v>41601</v>
      </c>
      <c r="D29" s="40">
        <f>C29-B29</f>
        <v>5883</v>
      </c>
      <c r="E29" s="217">
        <v>44589</v>
      </c>
      <c r="F29" s="70">
        <f>E29-C29</f>
        <v>2988</v>
      </c>
      <c r="G29" s="154">
        <f>G8*G21</f>
        <v>49382.602853844757</v>
      </c>
      <c r="H29" s="223">
        <f>+AVERAGE(G29,I29)</f>
        <v>46369.301426922379</v>
      </c>
      <c r="I29" s="217">
        <v>43356</v>
      </c>
      <c r="J29"/>
      <c r="K29" s="220" t="s">
        <v>193</v>
      </c>
      <c r="L29" s="220"/>
      <c r="M29" s="220"/>
    </row>
    <row r="30" spans="1:13" ht="12.75" customHeight="1" x14ac:dyDescent="0.25">
      <c r="A30" s="37" t="s">
        <v>101</v>
      </c>
      <c r="B30" s="40">
        <v>24619</v>
      </c>
      <c r="C30" s="40">
        <v>28503</v>
      </c>
      <c r="D30" s="40">
        <f>C30-B30</f>
        <v>3884</v>
      </c>
      <c r="E30" s="217">
        <v>31409</v>
      </c>
      <c r="F30" s="70">
        <f>E30-C30</f>
        <v>2906</v>
      </c>
      <c r="G30" s="154">
        <f>G29*G32</f>
        <v>34836.398844100979</v>
      </c>
      <c r="H30" s="154">
        <f>H29*H32</f>
        <v>32710.699422050489</v>
      </c>
      <c r="I30" s="217">
        <v>30585</v>
      </c>
      <c r="J30"/>
      <c r="K30"/>
      <c r="L30"/>
    </row>
    <row r="31" spans="1:13" ht="12.75" customHeight="1" x14ac:dyDescent="0.25">
      <c r="A31" s="37" t="s">
        <v>102</v>
      </c>
      <c r="B31" s="40">
        <v>11099</v>
      </c>
      <c r="C31" s="40">
        <v>13098</v>
      </c>
      <c r="D31" s="40">
        <f>C31-B31</f>
        <v>1999</v>
      </c>
      <c r="E31" s="217">
        <v>13180</v>
      </c>
      <c r="F31" s="70">
        <f>E31-C31</f>
        <v>82</v>
      </c>
      <c r="G31" s="154">
        <f>G29-G30</f>
        <v>14546.204009743778</v>
      </c>
      <c r="H31" s="154">
        <f>H29-H30</f>
        <v>13658.602004871889</v>
      </c>
      <c r="I31" s="217">
        <v>12770</v>
      </c>
      <c r="J31"/>
      <c r="K31"/>
      <c r="L31"/>
    </row>
    <row r="32" spans="1:13" ht="12.75" customHeight="1" x14ac:dyDescent="0.25">
      <c r="A32" s="37" t="s">
        <v>103</v>
      </c>
      <c r="B32" s="43">
        <f>B30/B29</f>
        <v>0.6892603169270396</v>
      </c>
      <c r="C32" s="43">
        <f>C30/C29</f>
        <v>0.68515179923559533</v>
      </c>
      <c r="D32" s="42"/>
      <c r="E32" s="43">
        <f>E30/E29</f>
        <v>0.70441140191527063</v>
      </c>
      <c r="F32" s="37"/>
      <c r="G32" s="203">
        <f>H32</f>
        <v>0.70543869360642131</v>
      </c>
      <c r="H32" s="203">
        <f>I32</f>
        <v>0.70543869360642131</v>
      </c>
      <c r="I32" s="203">
        <f>I30/I29</f>
        <v>0.70543869360642131</v>
      </c>
      <c r="J32"/>
      <c r="K32"/>
      <c r="L32"/>
    </row>
    <row r="33" spans="1:12" ht="12.75" customHeight="1" x14ac:dyDescent="0.25">
      <c r="A33" s="37" t="s">
        <v>104</v>
      </c>
      <c r="B33" s="43">
        <f>B31/B29</f>
        <v>0.3107396830729604</v>
      </c>
      <c r="C33" s="43">
        <f>C31/C29</f>
        <v>0.31484820076440473</v>
      </c>
      <c r="D33" s="42"/>
      <c r="E33" s="43">
        <f>E31/E29</f>
        <v>0.29558859808472943</v>
      </c>
      <c r="F33" s="37"/>
      <c r="G33" s="203">
        <f>1-G32</f>
        <v>0.29456130639357869</v>
      </c>
      <c r="H33" s="203">
        <f>1-H32</f>
        <v>0.29456130639357869</v>
      </c>
      <c r="I33" s="203">
        <f>I31/I29</f>
        <v>0.29453824153519698</v>
      </c>
      <c r="J33"/>
      <c r="K33"/>
      <c r="L33"/>
    </row>
    <row r="34" spans="1:12" ht="12.75" customHeight="1" x14ac:dyDescent="0.25">
      <c r="A34" s="37"/>
      <c r="B34" s="40"/>
      <c r="C34" s="40"/>
      <c r="D34" s="37"/>
      <c r="E34" s="37"/>
      <c r="F34" s="37"/>
      <c r="G34" s="159"/>
      <c r="H34" s="159"/>
      <c r="I34" s="159"/>
      <c r="J34"/>
      <c r="K34"/>
      <c r="L34"/>
    </row>
    <row r="35" spans="1:12" ht="12.75" customHeight="1" x14ac:dyDescent="0.25">
      <c r="A35" s="64" t="s">
        <v>171</v>
      </c>
      <c r="B35" s="43"/>
      <c r="C35" s="43"/>
      <c r="D35" s="37"/>
      <c r="E35" s="37"/>
      <c r="F35" s="37"/>
      <c r="G35" s="154"/>
      <c r="H35" s="154"/>
      <c r="I35" s="154"/>
      <c r="J35"/>
      <c r="K35"/>
      <c r="L35"/>
    </row>
    <row r="36" spans="1:12" ht="12.75" customHeight="1" x14ac:dyDescent="0.25">
      <c r="A36" s="37" t="s">
        <v>105</v>
      </c>
      <c r="B36" s="40">
        <v>14577</v>
      </c>
      <c r="C36" s="40">
        <v>16923</v>
      </c>
      <c r="D36" s="40">
        <f>C36-B36</f>
        <v>2346</v>
      </c>
      <c r="E36" s="217">
        <f>1181+18827</f>
        <v>20008</v>
      </c>
      <c r="F36" s="70">
        <f>E36-C36</f>
        <v>3085</v>
      </c>
      <c r="G36" s="210">
        <f>I36</f>
        <v>30379</v>
      </c>
      <c r="H36" s="210">
        <f>I36</f>
        <v>30379</v>
      </c>
      <c r="I36" s="217">
        <f>1452+28927</f>
        <v>30379</v>
      </c>
      <c r="J36"/>
      <c r="K36" t="s">
        <v>190</v>
      </c>
      <c r="L36"/>
    </row>
    <row r="37" spans="1:12" ht="12.75" customHeight="1" x14ac:dyDescent="0.25">
      <c r="A37" s="37" t="s">
        <v>106</v>
      </c>
      <c r="B37" s="43">
        <f>B36/B50</f>
        <v>0.12146993875255198</v>
      </c>
      <c r="C37" s="43">
        <f>C36/C50</f>
        <v>0.12422829877041659</v>
      </c>
      <c r="D37" s="43"/>
      <c r="E37" s="43">
        <f>E36/E50</f>
        <v>0.13662467137833317</v>
      </c>
      <c r="F37" s="43"/>
      <c r="G37" s="195">
        <f>G36/G50</f>
        <v>0.18113293496844399</v>
      </c>
      <c r="H37" s="195">
        <f>H36/H50</f>
        <v>0.1914649290312227</v>
      </c>
      <c r="I37" s="195">
        <f>I36/I50</f>
        <v>0.20165016063510607</v>
      </c>
      <c r="J37"/>
      <c r="K37"/>
      <c r="L37"/>
    </row>
    <row r="38" spans="1:12" ht="12.75" customHeight="1" x14ac:dyDescent="0.25">
      <c r="A38" s="37" t="s">
        <v>107</v>
      </c>
      <c r="B38" s="70">
        <v>1276</v>
      </c>
      <c r="C38" s="70">
        <v>1630</v>
      </c>
      <c r="D38" s="40">
        <f>C38-B38</f>
        <v>354</v>
      </c>
      <c r="E38" s="217">
        <v>1181</v>
      </c>
      <c r="F38" s="70">
        <f>E38-C38</f>
        <v>-449</v>
      </c>
      <c r="G38" s="154">
        <f>I38</f>
        <v>1452</v>
      </c>
      <c r="H38" s="154">
        <f>I38</f>
        <v>1452</v>
      </c>
      <c r="I38" s="217">
        <v>1452</v>
      </c>
      <c r="J38"/>
      <c r="K38" t="s">
        <v>190</v>
      </c>
      <c r="L38"/>
    </row>
    <row r="39" spans="1:12" ht="12.75" customHeight="1" x14ac:dyDescent="0.25">
      <c r="A39" s="37" t="s">
        <v>108</v>
      </c>
      <c r="B39" s="40">
        <f>B36-B38</f>
        <v>13301</v>
      </c>
      <c r="C39" s="40">
        <f>C36-C38</f>
        <v>15293</v>
      </c>
      <c r="D39" s="40">
        <f>C39-B39</f>
        <v>1992</v>
      </c>
      <c r="E39" s="40">
        <f>E36-E38</f>
        <v>18827</v>
      </c>
      <c r="F39" s="70">
        <f>E39-C39</f>
        <v>3534</v>
      </c>
      <c r="G39" s="154">
        <f>G36-G38</f>
        <v>28927</v>
      </c>
      <c r="H39" s="154">
        <f>H36-H38</f>
        <v>28927</v>
      </c>
      <c r="I39" s="154">
        <f>I36-I38</f>
        <v>28927</v>
      </c>
      <c r="J39"/>
      <c r="K39" t="s">
        <v>191</v>
      </c>
      <c r="L39"/>
    </row>
    <row r="40" spans="1:12" ht="12.75" customHeight="1" x14ac:dyDescent="0.25">
      <c r="A40" s="37"/>
      <c r="B40" s="40"/>
      <c r="C40" s="40"/>
      <c r="D40" s="40"/>
      <c r="E40" s="40"/>
      <c r="F40" s="70"/>
      <c r="G40" s="154"/>
      <c r="H40" s="154"/>
      <c r="I40" s="154"/>
      <c r="J40"/>
      <c r="K40"/>
      <c r="L40"/>
    </row>
    <row r="41" spans="1:12" ht="12.75" customHeight="1" x14ac:dyDescent="0.25">
      <c r="A41" s="37" t="s">
        <v>109</v>
      </c>
      <c r="B41" s="40">
        <v>8877</v>
      </c>
      <c r="C41" s="40">
        <v>10242</v>
      </c>
      <c r="D41" s="40">
        <f>C41-B41</f>
        <v>1365</v>
      </c>
      <c r="E41" s="217">
        <v>12480</v>
      </c>
      <c r="F41" s="70">
        <f>E41-C41</f>
        <v>2238</v>
      </c>
      <c r="G41" s="207">
        <f>G39/G43</f>
        <v>18905</v>
      </c>
      <c r="H41" s="207">
        <f>H39/H43</f>
        <v>18905</v>
      </c>
      <c r="I41" s="217">
        <v>18905</v>
      </c>
      <c r="J41"/>
      <c r="K41"/>
      <c r="L41"/>
    </row>
    <row r="42" spans="1:12" ht="12.75" customHeight="1" x14ac:dyDescent="0.25">
      <c r="A42" s="37" t="s">
        <v>110</v>
      </c>
      <c r="B42" s="43">
        <f>B41/B55</f>
        <v>0.19905819038008746</v>
      </c>
      <c r="C42" s="43">
        <f>C41/C55</f>
        <v>0.19755801168913836</v>
      </c>
      <c r="D42" s="42"/>
      <c r="E42" s="43">
        <f>E41/E55</f>
        <v>0.21868264732166326</v>
      </c>
      <c r="F42" s="37"/>
      <c r="G42" s="43">
        <f>G41/G55</f>
        <v>0.27684380780596696</v>
      </c>
      <c r="H42" s="43">
        <f>H41/H55</f>
        <v>0.28962393448461532</v>
      </c>
      <c r="I42" s="195">
        <f>I41/I55</f>
        <v>0.30364112365686385</v>
      </c>
      <c r="J42"/>
      <c r="K42"/>
      <c r="L42"/>
    </row>
    <row r="43" spans="1:12" ht="12.75" customHeight="1" x14ac:dyDescent="0.25">
      <c r="A43" s="37" t="s">
        <v>112</v>
      </c>
      <c r="B43" s="142">
        <f>B39/B41</f>
        <v>1.4983665652810634</v>
      </c>
      <c r="C43" s="142">
        <f>C39/C41</f>
        <v>1.4931653973833237</v>
      </c>
      <c r="D43" s="37"/>
      <c r="E43" s="142">
        <f>E39/E41</f>
        <v>1.508573717948718</v>
      </c>
      <c r="F43" s="37"/>
      <c r="G43" s="209">
        <f>H43</f>
        <v>1.5301243057392224</v>
      </c>
      <c r="H43" s="209">
        <f>I43</f>
        <v>1.5301243057392224</v>
      </c>
      <c r="I43" s="209">
        <f>I39/I41</f>
        <v>1.5301243057392224</v>
      </c>
      <c r="J43"/>
      <c r="K43"/>
      <c r="L43"/>
    </row>
    <row r="44" spans="1:12" ht="12.75" customHeight="1" x14ac:dyDescent="0.25">
      <c r="A44" s="37"/>
      <c r="B44" s="142"/>
      <c r="C44" s="142"/>
      <c r="D44" s="42"/>
      <c r="E44" s="42"/>
      <c r="F44" s="37"/>
      <c r="G44" s="37"/>
      <c r="H44" s="37"/>
      <c r="I44" s="37"/>
      <c r="J44"/>
      <c r="K44"/>
      <c r="L44"/>
    </row>
    <row r="45" spans="1:12" ht="12.75" customHeight="1" x14ac:dyDescent="0.25">
      <c r="A45" s="37" t="s">
        <v>113</v>
      </c>
      <c r="B45" s="40">
        <v>6469</v>
      </c>
      <c r="C45" s="40">
        <v>7516</v>
      </c>
      <c r="D45" s="40">
        <f>C45-B45</f>
        <v>1047</v>
      </c>
      <c r="E45" s="217">
        <v>9277</v>
      </c>
      <c r="F45" s="70">
        <f>E45-C45</f>
        <v>1761</v>
      </c>
      <c r="G45" s="207">
        <f>G47*G41</f>
        <v>14292</v>
      </c>
      <c r="H45" s="207">
        <f>H47*H41</f>
        <v>14292</v>
      </c>
      <c r="I45" s="217">
        <v>14292</v>
      </c>
      <c r="J45"/>
      <c r="K45"/>
      <c r="L45"/>
    </row>
    <row r="46" spans="1:12" ht="12.75" customHeight="1" x14ac:dyDescent="0.25">
      <c r="A46" s="37" t="s">
        <v>114</v>
      </c>
      <c r="B46" s="40">
        <v>2408</v>
      </c>
      <c r="C46" s="40">
        <v>2726</v>
      </c>
      <c r="D46" s="40">
        <f>C46-B46</f>
        <v>318</v>
      </c>
      <c r="E46" s="217">
        <v>3203</v>
      </c>
      <c r="F46" s="70">
        <f>E46-C46</f>
        <v>477</v>
      </c>
      <c r="G46" s="40">
        <f>G41-G45</f>
        <v>4613</v>
      </c>
      <c r="H46" s="40">
        <f>H41-H45</f>
        <v>4613</v>
      </c>
      <c r="I46" s="217">
        <v>4613</v>
      </c>
      <c r="J46"/>
      <c r="K46"/>
      <c r="L46"/>
    </row>
    <row r="47" spans="1:12" ht="12.75" customHeight="1" x14ac:dyDescent="0.25">
      <c r="A47" s="37" t="s">
        <v>115</v>
      </c>
      <c r="B47" s="43">
        <f>B45/B41</f>
        <v>0.72873718598625659</v>
      </c>
      <c r="C47" s="43">
        <f>C45/C41</f>
        <v>0.73384104667057215</v>
      </c>
      <c r="D47" s="37"/>
      <c r="E47" s="43">
        <f>E45/E41</f>
        <v>0.74334935897435894</v>
      </c>
      <c r="F47" s="37"/>
      <c r="G47" s="211">
        <f>H47</f>
        <v>0.75599047870933611</v>
      </c>
      <c r="H47" s="211">
        <f>I47</f>
        <v>0.75599047870933611</v>
      </c>
      <c r="I47" s="211">
        <f>I45/I41</f>
        <v>0.75599047870933611</v>
      </c>
      <c r="J47"/>
      <c r="K47"/>
      <c r="L47"/>
    </row>
    <row r="48" spans="1:12" ht="12.75" customHeight="1" x14ac:dyDescent="0.25">
      <c r="A48" s="37" t="s">
        <v>116</v>
      </c>
      <c r="B48" s="43">
        <f>1-B47</f>
        <v>0.27126281401374341</v>
      </c>
      <c r="C48" s="43">
        <f>1-C47</f>
        <v>0.26615895332942785</v>
      </c>
      <c r="D48" s="37"/>
      <c r="E48" s="43">
        <f>1-E47</f>
        <v>0.25665064102564106</v>
      </c>
      <c r="F48" s="37"/>
      <c r="G48" s="211">
        <f>1-G47</f>
        <v>0.24400952129066389</v>
      </c>
      <c r="H48" s="211">
        <f>1-H47</f>
        <v>0.24400952129066389</v>
      </c>
      <c r="I48" s="211">
        <f>1-I47</f>
        <v>0.24400952129066389</v>
      </c>
      <c r="J48"/>
      <c r="K48"/>
      <c r="L48"/>
    </row>
    <row r="49" spans="1:12" ht="12.75" customHeight="1" x14ac:dyDescent="0.25">
      <c r="A49" s="37"/>
      <c r="B49" s="43"/>
      <c r="C49" s="43"/>
      <c r="D49" s="37"/>
      <c r="E49" s="37"/>
      <c r="F49" s="37"/>
      <c r="G49" s="37"/>
      <c r="H49" s="37"/>
      <c r="I49" s="37"/>
      <c r="J49"/>
      <c r="K49"/>
      <c r="L49"/>
    </row>
    <row r="50" spans="1:12" ht="12.75" customHeight="1" x14ac:dyDescent="0.25">
      <c r="A50" s="64" t="s">
        <v>129</v>
      </c>
      <c r="B50" s="40">
        <f>B24+B36</f>
        <v>120005</v>
      </c>
      <c r="C50" s="40">
        <f>C24+C36</f>
        <v>136225</v>
      </c>
      <c r="D50" s="40">
        <f>C50-B50</f>
        <v>16220</v>
      </c>
      <c r="E50" s="40">
        <f>E24+E36</f>
        <v>146445</v>
      </c>
      <c r="F50" s="70">
        <f>E50-C50</f>
        <v>10220</v>
      </c>
      <c r="G50" s="40">
        <f>G24+I36</f>
        <v>167716.59999487374</v>
      </c>
      <c r="H50" s="40">
        <f>H24+I36</f>
        <v>158666.13355099625</v>
      </c>
      <c r="I50" s="40">
        <f>I24+I36</f>
        <v>150652</v>
      </c>
      <c r="J50"/>
      <c r="K50"/>
      <c r="L50"/>
    </row>
    <row r="51" spans="1:12" ht="12.75" customHeight="1" x14ac:dyDescent="0.25">
      <c r="A51" s="37" t="s">
        <v>96</v>
      </c>
      <c r="B51" s="40">
        <f>B25+B38</f>
        <v>4323</v>
      </c>
      <c r="C51" s="40">
        <f>C25+C38</f>
        <v>6293</v>
      </c>
      <c r="D51" s="40">
        <f>C51-B51</f>
        <v>1970</v>
      </c>
      <c r="E51" s="40">
        <f>E25+E38</f>
        <v>6335</v>
      </c>
      <c r="F51" s="70">
        <f>E51-C51</f>
        <v>42</v>
      </c>
      <c r="G51" s="212">
        <f>G25+G38</f>
        <v>6416</v>
      </c>
      <c r="H51" s="212">
        <f>H25+H38</f>
        <v>6416</v>
      </c>
      <c r="I51" s="212">
        <f>I25+I38</f>
        <v>6416</v>
      </c>
      <c r="J51"/>
      <c r="K51"/>
      <c r="L51"/>
    </row>
    <row r="52" spans="1:12" ht="12.75" customHeight="1" x14ac:dyDescent="0.25">
      <c r="A52" s="37" t="s">
        <v>95</v>
      </c>
      <c r="B52" s="40">
        <f>B50-B51</f>
        <v>115682</v>
      </c>
      <c r="C52" s="40">
        <f>C50-C51</f>
        <v>129932</v>
      </c>
      <c r="D52" s="40">
        <f>C52-B52</f>
        <v>14250</v>
      </c>
      <c r="E52" s="40">
        <f>E50-E51</f>
        <v>140110</v>
      </c>
      <c r="F52" s="70">
        <f>E52-C52</f>
        <v>10178</v>
      </c>
      <c r="G52" s="40">
        <f>G50-G51</f>
        <v>161300.59999487374</v>
      </c>
      <c r="H52" s="40">
        <f>H50-H51</f>
        <v>152250.13355099625</v>
      </c>
      <c r="I52" s="40">
        <f>I50-I51</f>
        <v>144236</v>
      </c>
      <c r="J52"/>
      <c r="K52"/>
      <c r="L52"/>
    </row>
    <row r="53" spans="1:12" ht="12.75" customHeight="1" x14ac:dyDescent="0.25">
      <c r="A53" s="37" t="s">
        <v>126</v>
      </c>
      <c r="B53" s="142">
        <f>B52/B55</f>
        <v>2.5940576297791234</v>
      </c>
      <c r="C53" s="142">
        <f>C52/C55</f>
        <v>2.5062592828347126</v>
      </c>
      <c r="D53" s="37"/>
      <c r="E53" s="142">
        <f>E52/E55</f>
        <v>2.4550982144421667</v>
      </c>
      <c r="F53" s="37"/>
      <c r="G53" s="142">
        <f>G52/G55</f>
        <v>2.3620773501173224</v>
      </c>
      <c r="H53" s="142">
        <f>H52/H55</f>
        <v>2.3324666863183112</v>
      </c>
      <c r="I53" s="142">
        <f>I52/I55</f>
        <v>2.3166348115192497</v>
      </c>
      <c r="J53"/>
      <c r="K53"/>
      <c r="L53"/>
    </row>
    <row r="54" spans="1:12" ht="12.75" customHeight="1" x14ac:dyDescent="0.25">
      <c r="A54" s="37"/>
      <c r="B54" s="43"/>
      <c r="C54" s="43"/>
      <c r="D54" s="37"/>
      <c r="E54" s="37"/>
      <c r="F54" s="37"/>
      <c r="G54" s="37"/>
      <c r="H54" s="37"/>
      <c r="I54" s="37"/>
      <c r="J54"/>
      <c r="K54"/>
      <c r="L54"/>
    </row>
    <row r="55" spans="1:12" ht="12.75" customHeight="1" x14ac:dyDescent="0.25">
      <c r="A55" s="64" t="s">
        <v>58</v>
      </c>
      <c r="B55" s="40">
        <v>44595</v>
      </c>
      <c r="C55" s="40">
        <v>51843</v>
      </c>
      <c r="D55" s="40">
        <f>C55-B55</f>
        <v>7248</v>
      </c>
      <c r="E55" s="40">
        <f>E29+E41</f>
        <v>57069</v>
      </c>
      <c r="F55" s="70">
        <f>E55-C55</f>
        <v>5226</v>
      </c>
      <c r="G55" s="40">
        <f>G29+G41</f>
        <v>68287.602853844757</v>
      </c>
      <c r="H55" s="40">
        <f>H29+H41</f>
        <v>65274.301426922379</v>
      </c>
      <c r="I55" s="40">
        <f>I29+I41</f>
        <v>62261</v>
      </c>
      <c r="J55"/>
      <c r="K55"/>
      <c r="L55"/>
    </row>
    <row r="56" spans="1:12" ht="12.75" customHeight="1" x14ac:dyDescent="0.25">
      <c r="A56" s="37" t="s">
        <v>101</v>
      </c>
      <c r="B56" s="40">
        <v>31088</v>
      </c>
      <c r="C56" s="40">
        <v>36019</v>
      </c>
      <c r="D56" s="40">
        <f>C56-B56</f>
        <v>4931</v>
      </c>
      <c r="E56" s="40">
        <f>E30+E45</f>
        <v>40686</v>
      </c>
      <c r="F56" s="70">
        <f>E56-C56</f>
        <v>4667</v>
      </c>
      <c r="G56" s="40">
        <f>G30+G45</f>
        <v>49128.398844100979</v>
      </c>
      <c r="H56" s="40">
        <f>H30+H45</f>
        <v>47002.699422050486</v>
      </c>
      <c r="I56" s="40">
        <f>I30+I45</f>
        <v>44877</v>
      </c>
      <c r="J56"/>
      <c r="K56"/>
      <c r="L56"/>
    </row>
    <row r="57" spans="1:12" ht="12.75" customHeight="1" x14ac:dyDescent="0.25">
      <c r="A57" s="37" t="s">
        <v>102</v>
      </c>
      <c r="B57" s="40">
        <v>13507</v>
      </c>
      <c r="C57" s="40">
        <v>15824</v>
      </c>
      <c r="D57" s="40">
        <f>C57-B57</f>
        <v>2317</v>
      </c>
      <c r="E57" s="40">
        <f>E31+E46</f>
        <v>16383</v>
      </c>
      <c r="F57" s="70">
        <f>E57-C57</f>
        <v>559</v>
      </c>
      <c r="G57" s="40">
        <f>G31+G46</f>
        <v>19159.204009743778</v>
      </c>
      <c r="H57" s="40">
        <f>H31+H46</f>
        <v>18271.602004871889</v>
      </c>
      <c r="I57" s="40">
        <f>I55-I56</f>
        <v>17384</v>
      </c>
      <c r="J57"/>
      <c r="K57"/>
      <c r="L57"/>
    </row>
    <row r="58" spans="1:12" ht="12.75" customHeight="1" x14ac:dyDescent="0.25">
      <c r="A58" s="37" t="s">
        <v>103</v>
      </c>
      <c r="B58" s="43">
        <f>B56/B55</f>
        <v>0.69711851104383904</v>
      </c>
      <c r="C58" s="43">
        <f>C56/C55</f>
        <v>0.69477075014948986</v>
      </c>
      <c r="D58" s="37"/>
      <c r="E58" s="43">
        <f>E56/E55</f>
        <v>0.71292645744624927</v>
      </c>
      <c r="F58" s="37"/>
      <c r="G58" s="43">
        <f>G56/G55</f>
        <v>0.71943364228570117</v>
      </c>
      <c r="H58" s="43">
        <f>H56/H55</f>
        <v>0.72007970050314818</v>
      </c>
      <c r="I58" s="43">
        <f>I56/I55</f>
        <v>0.72078829443793069</v>
      </c>
      <c r="J58"/>
      <c r="K58"/>
      <c r="L58"/>
    </row>
    <row r="59" spans="1:12" ht="12.75" customHeight="1" x14ac:dyDescent="0.25">
      <c r="A59" s="37" t="s">
        <v>104</v>
      </c>
      <c r="B59" s="43">
        <f>B57/B55</f>
        <v>0.30288148895616102</v>
      </c>
      <c r="C59" s="43">
        <f>C57/C55</f>
        <v>0.3052292498505102</v>
      </c>
      <c r="D59" s="37"/>
      <c r="E59" s="43">
        <f>E57/E55</f>
        <v>0.28707354255375073</v>
      </c>
      <c r="F59" s="37"/>
      <c r="G59" s="43">
        <f>1-G58</f>
        <v>0.28056635771429883</v>
      </c>
      <c r="H59" s="43">
        <f>1-H58</f>
        <v>0.27992029949685182</v>
      </c>
      <c r="I59" s="43">
        <f>1-I58</f>
        <v>0.27921170556206931</v>
      </c>
      <c r="J59"/>
      <c r="K59"/>
      <c r="L59"/>
    </row>
    <row r="60" spans="1:12" s="12" customFormat="1" ht="15.75" x14ac:dyDescent="0.25">
      <c r="A60" s="213"/>
      <c r="B60" s="213"/>
      <c r="C60" s="213"/>
      <c r="D60" s="214"/>
      <c r="E60" s="215"/>
      <c r="F60" s="214"/>
      <c r="G60" s="215"/>
      <c r="H60" s="215"/>
      <c r="I60" s="216"/>
      <c r="J60" s="4"/>
      <c r="K60" s="4"/>
      <c r="L60" s="4"/>
    </row>
    <row r="61" spans="1:12" ht="12.75" customHeight="1" x14ac:dyDescent="0.25">
      <c r="A61" s="64" t="s">
        <v>93</v>
      </c>
      <c r="B61" s="40"/>
      <c r="C61" s="40"/>
      <c r="D61" s="40"/>
      <c r="E61" s="40"/>
      <c r="F61" s="37"/>
      <c r="G61" s="40"/>
      <c r="H61" s="40"/>
      <c r="I61" s="40"/>
      <c r="J61"/>
      <c r="K61"/>
      <c r="L61"/>
    </row>
    <row r="62" spans="1:12" ht="12.75" customHeight="1" x14ac:dyDescent="0.25">
      <c r="A62" s="37" t="s">
        <v>1</v>
      </c>
      <c r="B62" s="40">
        <v>764</v>
      </c>
      <c r="C62" s="40">
        <v>332</v>
      </c>
      <c r="D62" s="40">
        <f t="shared" ref="D62:D68" si="0">C62-B62</f>
        <v>-432</v>
      </c>
      <c r="E62" s="40">
        <v>803</v>
      </c>
      <c r="F62" s="40">
        <f>+E62-C62</f>
        <v>471</v>
      </c>
      <c r="G62" s="40">
        <f t="shared" ref="G62:I63" si="1">G56/(1-G70)-G56</f>
        <v>496.24645297071402</v>
      </c>
      <c r="H62" s="40">
        <f t="shared" si="1"/>
        <v>474.77474163687293</v>
      </c>
      <c r="I62" s="40">
        <f t="shared" si="1"/>
        <v>453.30303030303185</v>
      </c>
      <c r="J62"/>
      <c r="K62"/>
      <c r="L62"/>
    </row>
    <row r="63" spans="1:12" ht="12.75" customHeight="1" x14ac:dyDescent="0.25">
      <c r="A63" s="37" t="s">
        <v>2</v>
      </c>
      <c r="B63" s="40">
        <v>1927</v>
      </c>
      <c r="C63" s="40">
        <v>460</v>
      </c>
      <c r="D63" s="40">
        <f t="shared" si="0"/>
        <v>-1467</v>
      </c>
      <c r="E63" s="40">
        <v>1411</v>
      </c>
      <c r="F63" s="40">
        <f t="shared" ref="F63:F68" si="2">+E63-C63</f>
        <v>951</v>
      </c>
      <c r="G63" s="40">
        <f t="shared" si="1"/>
        <v>798.30016707265895</v>
      </c>
      <c r="H63" s="40">
        <f t="shared" si="1"/>
        <v>761.31675020299735</v>
      </c>
      <c r="I63" s="40">
        <f t="shared" si="1"/>
        <v>724.33333333333576</v>
      </c>
      <c r="J63"/>
      <c r="K63"/>
      <c r="L63"/>
    </row>
    <row r="64" spans="1:12" ht="12.75" customHeight="1" x14ac:dyDescent="0.25">
      <c r="A64" s="37" t="s">
        <v>8</v>
      </c>
      <c r="B64" s="40">
        <v>205</v>
      </c>
      <c r="C64" s="40">
        <v>230</v>
      </c>
      <c r="D64" s="40">
        <f t="shared" si="0"/>
        <v>25</v>
      </c>
      <c r="E64" s="139">
        <f>71+161</f>
        <v>232</v>
      </c>
      <c r="F64" s="40">
        <f t="shared" si="2"/>
        <v>2</v>
      </c>
      <c r="G64" s="140" t="s">
        <v>32</v>
      </c>
      <c r="H64" s="40"/>
      <c r="I64" s="40"/>
      <c r="J64"/>
      <c r="K64"/>
      <c r="L64"/>
    </row>
    <row r="65" spans="1:12" ht="12.75" customHeight="1" x14ac:dyDescent="0.25">
      <c r="A65" s="37" t="s">
        <v>10</v>
      </c>
      <c r="B65" s="40">
        <v>2772</v>
      </c>
      <c r="C65" s="40">
        <v>2892</v>
      </c>
      <c r="D65" s="40">
        <f t="shared" si="0"/>
        <v>120</v>
      </c>
      <c r="E65" s="139">
        <v>3109</v>
      </c>
      <c r="F65" s="40">
        <f t="shared" si="2"/>
        <v>217</v>
      </c>
      <c r="G65" s="140" t="s">
        <v>32</v>
      </c>
      <c r="H65" s="40"/>
      <c r="I65" s="40"/>
      <c r="J65"/>
      <c r="K65"/>
      <c r="L65"/>
    </row>
    <row r="66" spans="1:12" ht="12.75" customHeight="1" x14ac:dyDescent="0.25">
      <c r="A66" s="37" t="s">
        <v>7</v>
      </c>
      <c r="B66" s="40">
        <v>607</v>
      </c>
      <c r="C66" s="40">
        <v>487</v>
      </c>
      <c r="D66" s="40">
        <f t="shared" si="0"/>
        <v>-120</v>
      </c>
      <c r="E66" s="139">
        <v>917</v>
      </c>
      <c r="F66" s="40">
        <f t="shared" si="2"/>
        <v>430</v>
      </c>
      <c r="G66" s="140" t="s">
        <v>32</v>
      </c>
      <c r="H66" s="40"/>
      <c r="I66" s="40"/>
      <c r="J66"/>
      <c r="K66"/>
      <c r="L66"/>
    </row>
    <row r="67" spans="1:12" ht="12.75" customHeight="1" x14ac:dyDescent="0.25">
      <c r="A67" s="37" t="s">
        <v>11</v>
      </c>
      <c r="B67" s="40">
        <f>SUM(B62:B66)</f>
        <v>6275</v>
      </c>
      <c r="C67" s="40">
        <f>SUM(C62:C66)</f>
        <v>4401</v>
      </c>
      <c r="D67" s="40">
        <f t="shared" si="0"/>
        <v>-1874</v>
      </c>
      <c r="E67" s="40">
        <f>SUM(E62:E66)</f>
        <v>6472</v>
      </c>
      <c r="F67" s="40">
        <f t="shared" si="2"/>
        <v>2071</v>
      </c>
      <c r="G67" s="140" t="s">
        <v>32</v>
      </c>
      <c r="H67" s="40"/>
      <c r="I67" s="40"/>
      <c r="J67"/>
      <c r="K67"/>
      <c r="L67"/>
    </row>
    <row r="68" spans="1:12" ht="12.75" customHeight="1" x14ac:dyDescent="0.25">
      <c r="A68" s="37" t="s">
        <v>9</v>
      </c>
      <c r="B68" s="40">
        <v>50870</v>
      </c>
      <c r="C68" s="40">
        <v>56244</v>
      </c>
      <c r="D68" s="40">
        <f t="shared" si="0"/>
        <v>5374</v>
      </c>
      <c r="E68" s="139">
        <v>63541</v>
      </c>
      <c r="F68" s="40">
        <f t="shared" si="2"/>
        <v>7297</v>
      </c>
      <c r="G68" s="140" t="s">
        <v>32</v>
      </c>
      <c r="H68" s="40"/>
      <c r="I68" s="40"/>
      <c r="J68"/>
      <c r="K68"/>
      <c r="L68"/>
    </row>
    <row r="69" spans="1:12" ht="12.75" customHeight="1" x14ac:dyDescent="0.25">
      <c r="A69" s="37"/>
      <c r="B69" s="174"/>
      <c r="C69" s="174"/>
      <c r="D69" s="37"/>
      <c r="E69" s="42"/>
      <c r="F69" s="37"/>
      <c r="G69" s="43"/>
      <c r="H69" s="43"/>
      <c r="I69" s="43"/>
      <c r="J69"/>
      <c r="K69"/>
      <c r="L69"/>
    </row>
    <row r="70" spans="1:12" ht="12.75" customHeight="1" x14ac:dyDescent="0.25">
      <c r="A70" s="37" t="s">
        <v>4</v>
      </c>
      <c r="B70" s="43">
        <f>B62/B81</f>
        <v>2.3985934949139771E-2</v>
      </c>
      <c r="C70" s="43">
        <f>C62/C81</f>
        <v>9.1331737778878163E-3</v>
      </c>
      <c r="D70" s="42"/>
      <c r="E70" s="43">
        <f>E62/E81</f>
        <v>1.9354527706138977E-2</v>
      </c>
      <c r="F70" s="37"/>
      <c r="G70" s="221">
        <v>0.01</v>
      </c>
      <c r="H70" s="43">
        <f>G70</f>
        <v>0.01</v>
      </c>
      <c r="I70" s="43">
        <f>H70</f>
        <v>0.01</v>
      </c>
      <c r="J70"/>
      <c r="K70" t="s">
        <v>194</v>
      </c>
      <c r="L70"/>
    </row>
    <row r="71" spans="1:12" ht="12.75" customHeight="1" x14ac:dyDescent="0.25">
      <c r="A71" s="37" t="s">
        <v>3</v>
      </c>
      <c r="B71" s="43">
        <f>B63/B82</f>
        <v>0.12485421796034729</v>
      </c>
      <c r="C71" s="43">
        <f>C63/C82</f>
        <v>2.8248587570621469E-2</v>
      </c>
      <c r="D71" s="42"/>
      <c r="E71" s="43">
        <f>E63/E82</f>
        <v>7.9296392042261438E-2</v>
      </c>
      <c r="F71" s="37"/>
      <c r="G71" s="221">
        <v>0.04</v>
      </c>
      <c r="H71" s="43">
        <f>G71</f>
        <v>0.04</v>
      </c>
      <c r="I71" s="43">
        <f>H71</f>
        <v>0.04</v>
      </c>
      <c r="J71" s="4"/>
      <c r="K71" t="s">
        <v>194</v>
      </c>
      <c r="L71"/>
    </row>
    <row r="72" spans="1:12" ht="12.75" customHeight="1" x14ac:dyDescent="0.25">
      <c r="A72" s="37" t="s">
        <v>5</v>
      </c>
      <c r="B72" s="43">
        <f>(B62+B63)/B83</f>
        <v>5.6909021697754095E-2</v>
      </c>
      <c r="C72" s="43">
        <f>(C62+C63)/C83</f>
        <v>1.5047021943573668E-2</v>
      </c>
      <c r="D72" s="42"/>
      <c r="E72" s="43">
        <f>(E62+E63)/E83</f>
        <v>3.7346288143312582E-2</v>
      </c>
      <c r="F72" s="37"/>
      <c r="G72" s="43">
        <f>(G62+G63)/G83</f>
        <v>1.8522508892247994E-2</v>
      </c>
      <c r="H72" s="43">
        <f>(H62+H63)/H83</f>
        <v>1.8499184731871732E-2</v>
      </c>
      <c r="I72" s="43">
        <f>(I62+I63)/I83</f>
        <v>1.8473612741634959E-2</v>
      </c>
      <c r="J72"/>
      <c r="K72"/>
      <c r="L72"/>
    </row>
    <row r="73" spans="1:12" ht="12.75" customHeight="1" x14ac:dyDescent="0.25">
      <c r="A73" s="37"/>
      <c r="B73" s="43"/>
      <c r="C73" s="43"/>
      <c r="D73" s="42"/>
      <c r="E73" s="42"/>
      <c r="F73" s="37"/>
      <c r="G73" s="37"/>
      <c r="H73" s="37"/>
      <c r="I73" s="37"/>
      <c r="J73"/>
      <c r="K73"/>
      <c r="L73"/>
    </row>
    <row r="74" spans="1:12" ht="12.75" customHeight="1" x14ac:dyDescent="0.25">
      <c r="A74" s="37"/>
      <c r="B74" s="43"/>
      <c r="C74" s="43"/>
      <c r="D74" s="42"/>
      <c r="E74" s="42"/>
      <c r="F74" s="37"/>
      <c r="G74" s="37"/>
      <c r="H74" s="37"/>
      <c r="I74" s="37"/>
      <c r="J74"/>
      <c r="K74"/>
      <c r="L74"/>
    </row>
    <row r="75" spans="1:12" ht="12.75" customHeight="1" x14ac:dyDescent="0.25">
      <c r="A75" s="37" t="s">
        <v>38</v>
      </c>
      <c r="B75" s="43"/>
      <c r="C75" s="43"/>
      <c r="D75" s="42"/>
      <c r="E75" s="42"/>
      <c r="F75" s="37"/>
      <c r="G75" s="154">
        <f>0.0005*8*E81</f>
        <v>165.95600000000002</v>
      </c>
      <c r="H75" s="154">
        <f>G75</f>
        <v>165.95600000000002</v>
      </c>
      <c r="I75" s="154">
        <f>H75</f>
        <v>165.95600000000002</v>
      </c>
      <c r="J75"/>
      <c r="K75"/>
      <c r="L75"/>
    </row>
    <row r="76" spans="1:12" ht="12.75" customHeight="1" x14ac:dyDescent="0.25">
      <c r="A76" s="37" t="s">
        <v>39</v>
      </c>
      <c r="B76" s="43"/>
      <c r="C76" s="43"/>
      <c r="D76" s="42"/>
      <c r="E76" s="42"/>
      <c r="F76" s="37"/>
      <c r="G76" s="154">
        <f>0.001*8*E82</f>
        <v>142.352</v>
      </c>
      <c r="H76" s="154">
        <f>G76</f>
        <v>142.352</v>
      </c>
      <c r="I76" s="154">
        <f>H76</f>
        <v>142.352</v>
      </c>
      <c r="J76"/>
      <c r="K76"/>
      <c r="L76"/>
    </row>
    <row r="77" spans="1:12" ht="12.75" customHeight="1" x14ac:dyDescent="0.25">
      <c r="A77" s="37" t="s">
        <v>47</v>
      </c>
      <c r="B77" s="43"/>
      <c r="C77" s="43"/>
      <c r="D77" s="42"/>
      <c r="E77" s="42"/>
      <c r="F77" s="37"/>
      <c r="G77" s="154">
        <f>G75+G76</f>
        <v>308.30799999999999</v>
      </c>
      <c r="H77" s="154">
        <f>H75+H76</f>
        <v>308.30799999999999</v>
      </c>
      <c r="I77" s="154">
        <f>I75+I76</f>
        <v>308.30799999999999</v>
      </c>
      <c r="J77"/>
      <c r="K77"/>
      <c r="L77"/>
    </row>
    <row r="78" spans="1:12" ht="12.75" customHeight="1" x14ac:dyDescent="0.25">
      <c r="A78" s="31"/>
      <c r="B78" s="38"/>
      <c r="C78" s="38"/>
      <c r="D78" s="44"/>
      <c r="E78" s="44"/>
      <c r="F78" s="31"/>
      <c r="G78" s="45"/>
      <c r="H78" s="45"/>
      <c r="I78" s="45"/>
      <c r="J78" s="8"/>
      <c r="K78" s="9"/>
      <c r="L78" s="8"/>
    </row>
    <row r="79" spans="1:12" ht="12.75" customHeight="1" x14ac:dyDescent="0.25">
      <c r="A79" s="31"/>
      <c r="B79" s="38"/>
      <c r="C79" s="38"/>
      <c r="D79" s="44"/>
      <c r="E79" s="44"/>
      <c r="F79" s="33"/>
      <c r="G79" s="46">
        <v>2020</v>
      </c>
      <c r="H79" s="22">
        <v>2020</v>
      </c>
      <c r="I79" s="47">
        <v>2020</v>
      </c>
      <c r="J79" s="8"/>
      <c r="K79" s="9"/>
      <c r="L79" s="8"/>
    </row>
    <row r="80" spans="1:12" ht="26.25" x14ac:dyDescent="0.25">
      <c r="A80" s="48" t="s">
        <v>64</v>
      </c>
      <c r="B80" s="48">
        <v>1990</v>
      </c>
      <c r="C80" s="48">
        <v>2000</v>
      </c>
      <c r="D80" s="29" t="s">
        <v>117</v>
      </c>
      <c r="E80" s="48">
        <v>2010</v>
      </c>
      <c r="F80" s="49" t="s">
        <v>44</v>
      </c>
      <c r="G80" s="50" t="s">
        <v>35</v>
      </c>
      <c r="H80" s="51" t="s">
        <v>36</v>
      </c>
      <c r="I80" s="50" t="s">
        <v>37</v>
      </c>
      <c r="J80" s="8"/>
      <c r="K80" s="9"/>
      <c r="L80" s="8"/>
    </row>
    <row r="81" spans="1:13" ht="12.75" customHeight="1" x14ac:dyDescent="0.25">
      <c r="A81" s="31" t="s">
        <v>13</v>
      </c>
      <c r="B81" s="32">
        <f>B56+B62</f>
        <v>31852</v>
      </c>
      <c r="C81" s="32">
        <f>C56+C62</f>
        <v>36351</v>
      </c>
      <c r="D81" s="32">
        <f>C81-B81</f>
        <v>4499</v>
      </c>
      <c r="E81" s="32">
        <f>E56+E62</f>
        <v>41489</v>
      </c>
      <c r="F81" s="52" t="s">
        <v>41</v>
      </c>
      <c r="G81" s="53">
        <f t="shared" ref="G81:I82" si="3">G56+G62+G75</f>
        <v>49790.601297071691</v>
      </c>
      <c r="H81" s="53">
        <f t="shared" si="3"/>
        <v>47643.430163687357</v>
      </c>
      <c r="I81" s="53">
        <f t="shared" si="3"/>
        <v>45496.25903030303</v>
      </c>
      <c r="J81" s="8"/>
      <c r="K81" s="9"/>
      <c r="L81" s="8"/>
    </row>
    <row r="82" spans="1:13" ht="12.75" customHeight="1" x14ac:dyDescent="0.25">
      <c r="A82" s="31" t="s">
        <v>14</v>
      </c>
      <c r="B82" s="32">
        <f>B57+B63</f>
        <v>15434</v>
      </c>
      <c r="C82" s="32">
        <f>C57+C63</f>
        <v>16284</v>
      </c>
      <c r="D82" s="32">
        <f>C82-B82</f>
        <v>850</v>
      </c>
      <c r="E82" s="32">
        <f>E57+E63</f>
        <v>17794</v>
      </c>
      <c r="F82" s="52" t="s">
        <v>43</v>
      </c>
      <c r="G82" s="53">
        <f t="shared" si="3"/>
        <v>20099.856176816436</v>
      </c>
      <c r="H82" s="53">
        <f t="shared" si="3"/>
        <v>19175.270755074886</v>
      </c>
      <c r="I82" s="53">
        <f t="shared" si="3"/>
        <v>18250.685333333335</v>
      </c>
      <c r="J82" s="8"/>
      <c r="K82" s="9"/>
      <c r="L82" s="8"/>
    </row>
    <row r="83" spans="1:13" ht="12.75" customHeight="1" x14ac:dyDescent="0.25">
      <c r="A83" s="31" t="s">
        <v>12</v>
      </c>
      <c r="B83" s="32">
        <f>B81+B82</f>
        <v>47286</v>
      </c>
      <c r="C83" s="32">
        <f>C81+C82</f>
        <v>52635</v>
      </c>
      <c r="D83" s="32">
        <f>C83-B83</f>
        <v>5349</v>
      </c>
      <c r="E83" s="32">
        <f>E81+E82</f>
        <v>59283</v>
      </c>
      <c r="F83" s="52" t="s">
        <v>42</v>
      </c>
      <c r="G83" s="53">
        <f>G81+G82</f>
        <v>69890.45747388812</v>
      </c>
      <c r="H83" s="53">
        <f>H81+H82</f>
        <v>66818.700918762246</v>
      </c>
      <c r="I83" s="53">
        <f>I81+I82</f>
        <v>63746.944363636365</v>
      </c>
      <c r="J83" s="5"/>
      <c r="K83" s="5"/>
      <c r="L83" s="5"/>
    </row>
    <row r="84" spans="1:13" ht="12.75" customHeight="1" x14ac:dyDescent="0.25">
      <c r="A84" s="31"/>
      <c r="B84" s="32"/>
      <c r="C84" s="32"/>
      <c r="D84" s="32"/>
      <c r="E84" s="32"/>
      <c r="F84" s="54" t="s">
        <v>205</v>
      </c>
      <c r="G84" s="75"/>
      <c r="H84" s="76"/>
      <c r="I84" s="77"/>
      <c r="J84" s="5"/>
      <c r="K84" s="5"/>
      <c r="L84" s="5"/>
    </row>
    <row r="85" spans="1:13" ht="12.75" customHeight="1" x14ac:dyDescent="0.25">
      <c r="A85" s="31"/>
      <c r="B85" s="32"/>
      <c r="C85" s="39"/>
      <c r="D85" s="31"/>
      <c r="E85" s="31"/>
      <c r="F85" s="49" t="s">
        <v>44</v>
      </c>
      <c r="G85" s="78" t="s">
        <v>35</v>
      </c>
      <c r="H85" s="79" t="s">
        <v>36</v>
      </c>
      <c r="I85" s="78" t="s">
        <v>37</v>
      </c>
      <c r="J85" s="5"/>
      <c r="K85" s="5"/>
      <c r="L85" s="5"/>
    </row>
    <row r="86" spans="1:13" ht="12.75" customHeight="1" x14ac:dyDescent="0.25">
      <c r="A86" s="31"/>
      <c r="B86" s="31"/>
      <c r="C86" s="31"/>
      <c r="D86" s="31"/>
      <c r="E86" s="31"/>
      <c r="F86" s="52" t="s">
        <v>41</v>
      </c>
      <c r="G86" s="53">
        <f>G81-E81</f>
        <v>8301.6012970716911</v>
      </c>
      <c r="H86" s="53">
        <f>H81-E81</f>
        <v>6154.430163687357</v>
      </c>
      <c r="I86" s="53">
        <f>I81-E81</f>
        <v>4007.2590303030302</v>
      </c>
      <c r="J86" s="4"/>
      <c r="K86" s="4"/>
      <c r="L86" s="4"/>
    </row>
    <row r="87" spans="1:13" ht="12.75" customHeight="1" x14ac:dyDescent="0.25">
      <c r="A87" s="31"/>
      <c r="B87" s="31"/>
      <c r="C87" s="31"/>
      <c r="D87" s="31"/>
      <c r="E87" s="31"/>
      <c r="F87" s="52" t="s">
        <v>43</v>
      </c>
      <c r="G87" s="53">
        <f>G82-E82</f>
        <v>2305.8561768164363</v>
      </c>
      <c r="H87" s="53">
        <f>H82-E82</f>
        <v>1381.2707550748855</v>
      </c>
      <c r="I87" s="53">
        <f>I82-E82</f>
        <v>456.68533333333471</v>
      </c>
      <c r="J87" s="12"/>
      <c r="K87" s="12"/>
      <c r="L87" s="12"/>
    </row>
    <row r="88" spans="1:13" ht="12.75" customHeight="1" x14ac:dyDescent="0.25">
      <c r="A88" s="31"/>
      <c r="B88" s="31"/>
      <c r="C88" s="31"/>
      <c r="D88" s="31"/>
      <c r="E88" s="31"/>
      <c r="F88" s="52" t="s">
        <v>42</v>
      </c>
      <c r="G88" s="53">
        <f>G83-E83</f>
        <v>10607.45747388812</v>
      </c>
      <c r="H88" s="53">
        <f>H83-E83</f>
        <v>7535.7009187622461</v>
      </c>
      <c r="I88" s="53">
        <f>I83-E83</f>
        <v>4463.9443636363649</v>
      </c>
      <c r="J88" s="12"/>
      <c r="K88" s="12"/>
      <c r="L88" s="12"/>
    </row>
    <row r="89" spans="1:13" ht="12.75" customHeight="1" x14ac:dyDescent="0.25">
      <c r="A89" s="31"/>
      <c r="B89" s="38"/>
      <c r="C89" s="38"/>
      <c r="D89" s="31"/>
      <c r="E89" s="31"/>
      <c r="F89" s="35" t="s">
        <v>91</v>
      </c>
      <c r="G89" s="36"/>
      <c r="H89" s="36"/>
      <c r="I89" s="55"/>
      <c r="J89" s="12"/>
      <c r="K89" s="12"/>
      <c r="L89" s="12"/>
    </row>
    <row r="90" spans="1:13" ht="12.75" customHeight="1" x14ac:dyDescent="0.25">
      <c r="A90" s="31"/>
      <c r="B90" s="38"/>
      <c r="C90" s="38"/>
      <c r="D90" s="31"/>
      <c r="E90" s="31"/>
      <c r="F90" s="52" t="s">
        <v>41</v>
      </c>
      <c r="G90" s="53">
        <f t="shared" ref="G90:I91" si="4">(1-$G$16)*G86</f>
        <v>5476.7033263785643</v>
      </c>
      <c r="H90" s="53">
        <f t="shared" si="4"/>
        <v>4060.1791080138451</v>
      </c>
      <c r="I90" s="53">
        <f t="shared" si="4"/>
        <v>2643.6548896491308</v>
      </c>
      <c r="J90" s="4"/>
      <c r="K90" s="4"/>
      <c r="L90" s="4"/>
    </row>
    <row r="91" spans="1:13" ht="12.75" customHeight="1" x14ac:dyDescent="0.25">
      <c r="A91" s="31"/>
      <c r="B91" s="38"/>
      <c r="C91" s="38"/>
      <c r="D91" s="31"/>
      <c r="E91" s="31"/>
      <c r="F91" s="52" t="s">
        <v>43</v>
      </c>
      <c r="G91" s="53">
        <f t="shared" si="4"/>
        <v>1521.2113593284362</v>
      </c>
      <c r="H91" s="53">
        <f t="shared" si="4"/>
        <v>911.24710381073942</v>
      </c>
      <c r="I91" s="53">
        <f t="shared" si="4"/>
        <v>301.28284829304278</v>
      </c>
      <c r="J91" s="4"/>
      <c r="K91" s="4"/>
      <c r="L91" s="4"/>
    </row>
    <row r="92" spans="1:13" ht="12.75" customHeight="1" x14ac:dyDescent="0.25">
      <c r="A92" s="31"/>
      <c r="B92" s="38"/>
      <c r="C92" s="38"/>
      <c r="D92" s="31"/>
      <c r="E92" s="31"/>
      <c r="F92" s="52" t="s">
        <v>42</v>
      </c>
      <c r="G92" s="53">
        <f>G90+G91</f>
        <v>6997.9146857070009</v>
      </c>
      <c r="H92" s="53">
        <f>H90+H91</f>
        <v>4971.4262118245842</v>
      </c>
      <c r="I92" s="53">
        <f>I90+I91</f>
        <v>2944.9377379421735</v>
      </c>
      <c r="J92" s="4"/>
      <c r="K92" s="4"/>
      <c r="L92" s="4"/>
    </row>
    <row r="93" spans="1:13" ht="12.75" customHeight="1" x14ac:dyDescent="0.25">
      <c r="A93" s="30"/>
      <c r="B93" s="67"/>
      <c r="C93" s="67"/>
      <c r="D93" s="30"/>
      <c r="E93" s="30"/>
      <c r="F93" s="69"/>
      <c r="G93" s="72"/>
      <c r="H93" s="72"/>
      <c r="I93" s="74"/>
      <c r="J93" s="4"/>
      <c r="K93" s="4"/>
      <c r="L93" s="4"/>
    </row>
    <row r="94" spans="1:13" ht="12.75" customHeight="1" x14ac:dyDescent="0.25">
      <c r="A94" s="30"/>
      <c r="B94" s="67"/>
      <c r="C94" s="67"/>
      <c r="D94" s="30"/>
      <c r="E94" s="30"/>
      <c r="F94" s="69"/>
      <c r="G94" s="72"/>
      <c r="H94" s="72"/>
      <c r="I94" s="74"/>
      <c r="J94" s="4"/>
      <c r="K94" s="4"/>
      <c r="L94" s="4"/>
    </row>
    <row r="95" spans="1:13" ht="25.5" x14ac:dyDescent="0.25">
      <c r="A95" s="184" t="s">
        <v>155</v>
      </c>
      <c r="B95" s="181">
        <v>1990</v>
      </c>
      <c r="C95" s="182">
        <v>2000</v>
      </c>
      <c r="D95" s="183" t="s">
        <v>117</v>
      </c>
      <c r="E95" s="48">
        <v>2010</v>
      </c>
      <c r="F95" s="34"/>
      <c r="G95" s="175"/>
      <c r="H95" s="176" t="s">
        <v>185</v>
      </c>
      <c r="I95" s="177"/>
      <c r="J95"/>
      <c r="K95" s="178"/>
      <c r="L95" s="179" t="s">
        <v>186</v>
      </c>
      <c r="M95" s="180"/>
    </row>
    <row r="96" spans="1:13" ht="12.75" customHeight="1" x14ac:dyDescent="0.25">
      <c r="A96" s="21" t="s">
        <v>150</v>
      </c>
      <c r="B96" s="32">
        <f t="shared" ref="B96:C98" si="5">B29</f>
        <v>35718</v>
      </c>
      <c r="C96" s="32">
        <f t="shared" si="5"/>
        <v>41601</v>
      </c>
      <c r="D96" s="32">
        <f>C96-B96</f>
        <v>5883</v>
      </c>
      <c r="E96" s="32">
        <f t="shared" ref="E96:I98" si="6">E29</f>
        <v>44589</v>
      </c>
      <c r="F96" s="34"/>
      <c r="G96" s="32">
        <f t="shared" si="6"/>
        <v>49382.602853844757</v>
      </c>
      <c r="H96" s="32">
        <f t="shared" si="6"/>
        <v>46369.301426922379</v>
      </c>
      <c r="I96" s="32">
        <f t="shared" si="6"/>
        <v>43356</v>
      </c>
      <c r="J96"/>
      <c r="K96" s="3">
        <f>G96-E96</f>
        <v>4793.6028538447572</v>
      </c>
      <c r="L96" s="3">
        <f>H96-E96</f>
        <v>1780.3014269223786</v>
      </c>
      <c r="M96" s="3">
        <f>I96-E96</f>
        <v>-1233</v>
      </c>
    </row>
    <row r="97" spans="1:13" ht="12.75" customHeight="1" x14ac:dyDescent="0.25">
      <c r="A97" s="31" t="s">
        <v>151</v>
      </c>
      <c r="B97" s="32">
        <f t="shared" si="5"/>
        <v>24619</v>
      </c>
      <c r="C97" s="32">
        <f t="shared" si="5"/>
        <v>28503</v>
      </c>
      <c r="D97" s="32">
        <f>C97-B97</f>
        <v>3884</v>
      </c>
      <c r="E97" s="32">
        <f t="shared" si="6"/>
        <v>31409</v>
      </c>
      <c r="F97" s="34"/>
      <c r="G97" s="32">
        <f t="shared" si="6"/>
        <v>34836.398844100979</v>
      </c>
      <c r="H97" s="32">
        <f t="shared" si="6"/>
        <v>32710.699422050489</v>
      </c>
      <c r="I97" s="32">
        <f t="shared" si="6"/>
        <v>30585</v>
      </c>
      <c r="J97"/>
      <c r="K97" s="3">
        <f t="shared" ref="K97:K106" si="7">G97-E97</f>
        <v>3427.3988441009787</v>
      </c>
      <c r="L97" s="3">
        <f t="shared" ref="L97:L106" si="8">H97-E97</f>
        <v>1301.6994220504894</v>
      </c>
      <c r="M97" s="3">
        <f t="shared" ref="M97:M106" si="9">I97-E97</f>
        <v>-824</v>
      </c>
    </row>
    <row r="98" spans="1:13" ht="12.75" customHeight="1" x14ac:dyDescent="0.25">
      <c r="A98" s="31" t="s">
        <v>152</v>
      </c>
      <c r="B98" s="32">
        <f t="shared" si="5"/>
        <v>11099</v>
      </c>
      <c r="C98" s="32">
        <f t="shared" si="5"/>
        <v>13098</v>
      </c>
      <c r="D98" s="32">
        <f>C98-B98</f>
        <v>1999</v>
      </c>
      <c r="E98" s="32">
        <f t="shared" si="6"/>
        <v>13180</v>
      </c>
      <c r="F98" s="34"/>
      <c r="G98" s="32">
        <f t="shared" si="6"/>
        <v>14546.204009743778</v>
      </c>
      <c r="H98" s="32">
        <f t="shared" si="6"/>
        <v>13658.602004871889</v>
      </c>
      <c r="I98" s="32">
        <f t="shared" si="6"/>
        <v>12770</v>
      </c>
      <c r="J98"/>
      <c r="K98" s="3">
        <f t="shared" si="7"/>
        <v>1366.2040097437784</v>
      </c>
      <c r="L98" s="3">
        <f t="shared" si="8"/>
        <v>478.60200487188922</v>
      </c>
      <c r="M98" s="3">
        <f t="shared" si="9"/>
        <v>-410</v>
      </c>
    </row>
    <row r="99" spans="1:13" ht="12.75" customHeight="1" x14ac:dyDescent="0.25">
      <c r="A99" s="31"/>
      <c r="B99" s="31"/>
      <c r="C99" s="31"/>
      <c r="D99" s="31"/>
      <c r="E99" s="31"/>
      <c r="F99" s="34"/>
      <c r="G99" s="31"/>
      <c r="H99" s="31"/>
      <c r="I99" s="31"/>
      <c r="J99"/>
      <c r="K99" s="3"/>
      <c r="L99" s="3"/>
      <c r="M99" s="3"/>
    </row>
    <row r="100" spans="1:13" ht="12.75" customHeight="1" x14ac:dyDescent="0.25">
      <c r="A100" s="21" t="s">
        <v>153</v>
      </c>
      <c r="B100" s="32">
        <f>B41</f>
        <v>8877</v>
      </c>
      <c r="C100" s="32">
        <f>C41</f>
        <v>10242</v>
      </c>
      <c r="D100" s="32">
        <f t="shared" ref="D100:D106" si="10">C100-B100</f>
        <v>1365</v>
      </c>
      <c r="E100" s="32">
        <f>E41</f>
        <v>12480</v>
      </c>
      <c r="F100" s="34"/>
      <c r="G100" s="32">
        <f>G41</f>
        <v>18905</v>
      </c>
      <c r="H100" s="32">
        <f>H41</f>
        <v>18905</v>
      </c>
      <c r="I100" s="32">
        <f>I41</f>
        <v>18905</v>
      </c>
      <c r="J100"/>
      <c r="K100" s="3">
        <f t="shared" si="7"/>
        <v>6425</v>
      </c>
      <c r="L100" s="3">
        <f t="shared" si="8"/>
        <v>6425</v>
      </c>
      <c r="M100" s="3">
        <f t="shared" si="9"/>
        <v>6425</v>
      </c>
    </row>
    <row r="101" spans="1:13" ht="12.75" customHeight="1" x14ac:dyDescent="0.25">
      <c r="A101" s="31" t="s">
        <v>151</v>
      </c>
      <c r="B101" s="32">
        <f>B45</f>
        <v>6469</v>
      </c>
      <c r="C101" s="32">
        <f>C45</f>
        <v>7516</v>
      </c>
      <c r="D101" s="32">
        <f t="shared" si="10"/>
        <v>1047</v>
      </c>
      <c r="E101" s="32">
        <f t="shared" ref="E101:I102" si="11">E45</f>
        <v>9277</v>
      </c>
      <c r="F101" s="34"/>
      <c r="G101" s="32">
        <f t="shared" si="11"/>
        <v>14292</v>
      </c>
      <c r="H101" s="32">
        <f t="shared" si="11"/>
        <v>14292</v>
      </c>
      <c r="I101" s="32">
        <f t="shared" si="11"/>
        <v>14292</v>
      </c>
      <c r="J101"/>
      <c r="K101" s="3">
        <f t="shared" si="7"/>
        <v>5015</v>
      </c>
      <c r="L101" s="3">
        <f t="shared" si="8"/>
        <v>5015</v>
      </c>
      <c r="M101" s="3">
        <f t="shared" si="9"/>
        <v>5015</v>
      </c>
    </row>
    <row r="102" spans="1:13" ht="12.75" customHeight="1" x14ac:dyDescent="0.25">
      <c r="A102" s="31" t="s">
        <v>152</v>
      </c>
      <c r="B102" s="32">
        <f>B46</f>
        <v>2408</v>
      </c>
      <c r="C102" s="32">
        <f>C46</f>
        <v>2726</v>
      </c>
      <c r="D102" s="32">
        <f t="shared" si="10"/>
        <v>318</v>
      </c>
      <c r="E102" s="32">
        <f t="shared" si="11"/>
        <v>3203</v>
      </c>
      <c r="F102" s="34"/>
      <c r="G102" s="32">
        <f t="shared" si="11"/>
        <v>4613</v>
      </c>
      <c r="H102" s="32">
        <f t="shared" si="11"/>
        <v>4613</v>
      </c>
      <c r="I102" s="32">
        <f t="shared" si="11"/>
        <v>4613</v>
      </c>
      <c r="J102"/>
      <c r="K102" s="3">
        <f t="shared" si="7"/>
        <v>1410</v>
      </c>
      <c r="L102" s="3">
        <f t="shared" si="8"/>
        <v>1410</v>
      </c>
      <c r="M102" s="3">
        <f t="shared" si="9"/>
        <v>1410</v>
      </c>
    </row>
    <row r="103" spans="1:13" ht="12.75" customHeight="1" x14ac:dyDescent="0.25">
      <c r="A103" s="31"/>
      <c r="B103" s="38"/>
      <c r="C103" s="38"/>
      <c r="D103" s="31"/>
      <c r="E103" s="31"/>
      <c r="F103" s="34"/>
      <c r="G103" s="31"/>
      <c r="H103" s="31"/>
      <c r="I103" s="31"/>
      <c r="J103"/>
      <c r="K103" s="3"/>
      <c r="L103" s="3"/>
      <c r="M103" s="3"/>
    </row>
    <row r="104" spans="1:13" ht="12.75" customHeight="1" x14ac:dyDescent="0.25">
      <c r="A104" s="21" t="s">
        <v>154</v>
      </c>
      <c r="B104" s="32">
        <f t="shared" ref="B104:C106" si="12">B55</f>
        <v>44595</v>
      </c>
      <c r="C104" s="32">
        <f t="shared" si="12"/>
        <v>51843</v>
      </c>
      <c r="D104" s="32">
        <f t="shared" si="10"/>
        <v>7248</v>
      </c>
      <c r="E104" s="32">
        <f>E55</f>
        <v>57069</v>
      </c>
      <c r="F104" s="34"/>
      <c r="G104" s="32">
        <f>G55</f>
        <v>68287.602853844757</v>
      </c>
      <c r="H104" s="32">
        <f>H55</f>
        <v>65274.301426922379</v>
      </c>
      <c r="I104" s="32">
        <f>I55</f>
        <v>62261</v>
      </c>
      <c r="J104"/>
      <c r="K104" s="3">
        <f t="shared" si="7"/>
        <v>11218.602853844757</v>
      </c>
      <c r="L104" s="3">
        <f t="shared" si="8"/>
        <v>8205.3014269223786</v>
      </c>
      <c r="M104" s="3">
        <f t="shared" si="9"/>
        <v>5192</v>
      </c>
    </row>
    <row r="105" spans="1:13" ht="12.75" customHeight="1" x14ac:dyDescent="0.25">
      <c r="A105" s="31" t="s">
        <v>151</v>
      </c>
      <c r="B105" s="32">
        <f t="shared" si="12"/>
        <v>31088</v>
      </c>
      <c r="C105" s="32">
        <f t="shared" si="12"/>
        <v>36019</v>
      </c>
      <c r="D105" s="32">
        <f t="shared" si="10"/>
        <v>4931</v>
      </c>
      <c r="E105" s="32">
        <f t="shared" ref="E105:I106" si="13">E56</f>
        <v>40686</v>
      </c>
      <c r="F105" s="34"/>
      <c r="G105" s="32">
        <f t="shared" si="13"/>
        <v>49128.398844100979</v>
      </c>
      <c r="H105" s="32">
        <f t="shared" si="13"/>
        <v>47002.699422050486</v>
      </c>
      <c r="I105" s="32">
        <f t="shared" si="13"/>
        <v>44877</v>
      </c>
      <c r="J105"/>
      <c r="K105" s="3">
        <f t="shared" si="7"/>
        <v>8442.3988441009787</v>
      </c>
      <c r="L105" s="3">
        <f t="shared" si="8"/>
        <v>6316.6994220504857</v>
      </c>
      <c r="M105" s="3">
        <f t="shared" si="9"/>
        <v>4191</v>
      </c>
    </row>
    <row r="106" spans="1:13" ht="12.75" customHeight="1" x14ac:dyDescent="0.25">
      <c r="A106" s="31" t="s">
        <v>152</v>
      </c>
      <c r="B106" s="32">
        <f t="shared" si="12"/>
        <v>13507</v>
      </c>
      <c r="C106" s="32">
        <f t="shared" si="12"/>
        <v>15824</v>
      </c>
      <c r="D106" s="32">
        <f t="shared" si="10"/>
        <v>2317</v>
      </c>
      <c r="E106" s="32">
        <f t="shared" si="13"/>
        <v>16383</v>
      </c>
      <c r="F106" s="34"/>
      <c r="G106" s="32">
        <f t="shared" si="13"/>
        <v>19159.204009743778</v>
      </c>
      <c r="H106" s="32">
        <f t="shared" si="13"/>
        <v>18271.602004871889</v>
      </c>
      <c r="I106" s="32">
        <f t="shared" si="13"/>
        <v>17384</v>
      </c>
      <c r="J106"/>
      <c r="K106" s="3">
        <f t="shared" si="7"/>
        <v>2776.2040097437784</v>
      </c>
      <c r="L106" s="3">
        <f t="shared" si="8"/>
        <v>1888.6020048718892</v>
      </c>
      <c r="M106" s="3">
        <f t="shared" si="9"/>
        <v>1001</v>
      </c>
    </row>
    <row r="107" spans="1:13" ht="12.75" customHeight="1" x14ac:dyDescent="0.25">
      <c r="A107" s="30"/>
      <c r="B107" s="67"/>
      <c r="C107" s="67"/>
      <c r="D107" s="30"/>
      <c r="E107" s="30"/>
      <c r="F107" s="69"/>
      <c r="G107" s="72"/>
      <c r="H107" s="72"/>
      <c r="I107" s="74"/>
      <c r="J107" s="4"/>
      <c r="K107" s="4"/>
      <c r="L107" s="4"/>
    </row>
    <row r="108" spans="1:13" ht="12.75" customHeight="1" x14ac:dyDescent="0.25">
      <c r="A108" s="30"/>
      <c r="B108" s="67"/>
      <c r="C108" s="67"/>
      <c r="D108" s="30"/>
      <c r="E108" s="30"/>
      <c r="F108" s="69"/>
      <c r="G108" s="72"/>
      <c r="H108" s="72"/>
      <c r="I108" s="74"/>
      <c r="J108" s="4"/>
      <c r="K108" s="4"/>
      <c r="L108" s="4"/>
    </row>
    <row r="109" spans="1:13" ht="12.75" customHeight="1" x14ac:dyDescent="0.25">
      <c r="A109" s="222" t="s">
        <v>206</v>
      </c>
      <c r="B109" s="38"/>
      <c r="C109" s="38"/>
      <c r="D109" s="31"/>
      <c r="E109" s="57" t="s">
        <v>187</v>
      </c>
      <c r="F109" s="34"/>
      <c r="G109" s="45"/>
      <c r="H109" s="58"/>
      <c r="I109" s="56"/>
      <c r="J109" s="4"/>
      <c r="K109" s="4"/>
      <c r="L109" s="4"/>
    </row>
    <row r="110" spans="1:13" ht="12.75" customHeight="1" x14ac:dyDescent="0.25">
      <c r="A110" s="222" t="s">
        <v>207</v>
      </c>
      <c r="B110" s="38"/>
      <c r="C110" s="38"/>
      <c r="D110" s="31"/>
      <c r="E110" s="219" t="s">
        <v>209</v>
      </c>
      <c r="F110" s="34"/>
      <c r="G110" s="31"/>
      <c r="H110" s="59"/>
      <c r="I110" s="31"/>
      <c r="J110" s="4"/>
      <c r="K110" s="4"/>
      <c r="L110" s="4"/>
    </row>
    <row r="111" spans="1:13" ht="12.75" customHeight="1" x14ac:dyDescent="0.25">
      <c r="A111" s="21"/>
      <c r="B111" s="38"/>
      <c r="C111" s="38"/>
      <c r="D111" s="31"/>
      <c r="E111" s="31"/>
      <c r="F111" s="34"/>
      <c r="G111" s="60" t="s">
        <v>77</v>
      </c>
      <c r="H111" s="60" t="s">
        <v>78</v>
      </c>
      <c r="I111" s="61" t="s">
        <v>79</v>
      </c>
      <c r="J111" s="4"/>
      <c r="K111" s="4"/>
      <c r="L111" s="4"/>
    </row>
    <row r="112" spans="1:13" ht="12.75" customHeight="1" x14ac:dyDescent="0.25">
      <c r="A112" s="21" t="s">
        <v>49</v>
      </c>
      <c r="B112" s="38"/>
      <c r="C112" s="62" t="s">
        <v>208</v>
      </c>
      <c r="D112" s="31"/>
      <c r="E112" s="21" t="s">
        <v>49</v>
      </c>
      <c r="F112" s="34"/>
      <c r="G112" s="45"/>
      <c r="H112" s="31"/>
      <c r="I112" s="56"/>
      <c r="J112" s="4"/>
      <c r="K112" s="4"/>
      <c r="L112" s="4"/>
    </row>
    <row r="113" spans="1:12" ht="12.75" customHeight="1" x14ac:dyDescent="0.25">
      <c r="A113" s="31" t="s">
        <v>50</v>
      </c>
      <c r="B113" s="38"/>
      <c r="C113" s="217">
        <v>2378.6723344668935</v>
      </c>
      <c r="D113" s="31"/>
      <c r="E113" s="31" t="s">
        <v>50</v>
      </c>
      <c r="F113" s="34"/>
      <c r="G113" s="45">
        <f>G56*C141</f>
        <v>2871.4030951672885</v>
      </c>
      <c r="H113" s="45">
        <f>H56*C141</f>
        <v>2747.1625328147461</v>
      </c>
      <c r="I113" s="45">
        <f>I56*C141</f>
        <v>2622.9219704622042</v>
      </c>
      <c r="J113" s="4"/>
      <c r="K113" s="4"/>
      <c r="L113" s="4"/>
    </row>
    <row r="114" spans="1:12" ht="12.75" customHeight="1" x14ac:dyDescent="0.25">
      <c r="A114" s="31" t="s">
        <v>51</v>
      </c>
      <c r="B114" s="38"/>
      <c r="C114" s="217">
        <v>5489.8445844584458</v>
      </c>
      <c r="D114" s="31"/>
      <c r="E114" s="31" t="s">
        <v>51</v>
      </c>
      <c r="F114" s="34"/>
      <c r="G114" s="45">
        <f>G56*C142</f>
        <v>6627.0400102560898</v>
      </c>
      <c r="H114" s="45">
        <f>H56*C142</f>
        <v>6340.2996431537667</v>
      </c>
      <c r="I114" s="45">
        <f>I56*C142</f>
        <v>6053.5592760514446</v>
      </c>
      <c r="J114" s="4"/>
      <c r="K114" s="4"/>
      <c r="L114" s="4"/>
    </row>
    <row r="115" spans="1:12" ht="12.75" customHeight="1" x14ac:dyDescent="0.25">
      <c r="A115" s="31" t="s">
        <v>52</v>
      </c>
      <c r="B115" s="38"/>
      <c r="C115" s="217">
        <v>7308.3320754716979</v>
      </c>
      <c r="D115" s="31"/>
      <c r="E115" s="31" t="s">
        <v>52</v>
      </c>
      <c r="F115" s="34"/>
      <c r="G115" s="45">
        <f>G56*C143</f>
        <v>8822.2186124357431</v>
      </c>
      <c r="H115" s="45">
        <f>H56*C143</f>
        <v>8440.4967276015177</v>
      </c>
      <c r="I115" s="45">
        <f>I56*C143</f>
        <v>8058.774842767295</v>
      </c>
      <c r="J115" s="4"/>
      <c r="K115" s="4"/>
      <c r="L115" s="4"/>
    </row>
    <row r="116" spans="1:12" ht="12.75" customHeight="1" x14ac:dyDescent="0.25">
      <c r="A116" s="31" t="s">
        <v>53</v>
      </c>
      <c r="B116" s="38"/>
      <c r="C116" s="217">
        <v>11159.615056602264</v>
      </c>
      <c r="D116" s="31"/>
      <c r="E116" s="31" t="s">
        <v>53</v>
      </c>
      <c r="F116" s="34"/>
      <c r="G116" s="45">
        <f>G56*C144</f>
        <v>13471.276707636505</v>
      </c>
      <c r="H116" s="45">
        <f>H56*C144</f>
        <v>12888.398254736476</v>
      </c>
      <c r="I116" s="45">
        <f>I56*C144</f>
        <v>12305.519801836448</v>
      </c>
      <c r="J116" s="4"/>
      <c r="K116" s="4"/>
      <c r="L116" s="4"/>
    </row>
    <row r="117" spans="1:12" ht="12.75" customHeight="1" x14ac:dyDescent="0.25">
      <c r="A117" s="31" t="s">
        <v>54</v>
      </c>
      <c r="B117" s="38"/>
      <c r="C117" s="217">
        <v>15522.191047641907</v>
      </c>
      <c r="D117" s="31"/>
      <c r="E117" s="31" t="s">
        <v>54</v>
      </c>
      <c r="F117" s="34"/>
      <c r="G117" s="45">
        <f>G56*C145</f>
        <v>18737.539749444328</v>
      </c>
      <c r="H117" s="45">
        <f>H56*C145</f>
        <v>17926.799355839488</v>
      </c>
      <c r="I117" s="45">
        <f>I56*C145</f>
        <v>17116.058962234652</v>
      </c>
      <c r="J117" s="4"/>
      <c r="K117" s="4"/>
      <c r="L117" s="4"/>
    </row>
    <row r="118" spans="1:12" ht="12.75" customHeight="1" x14ac:dyDescent="0.25">
      <c r="A118" s="31" t="s">
        <v>55</v>
      </c>
      <c r="B118" s="38"/>
      <c r="C118" s="217">
        <v>19842.314724588981</v>
      </c>
      <c r="D118" s="31"/>
      <c r="E118" s="31" t="s">
        <v>55</v>
      </c>
      <c r="F118" s="34"/>
      <c r="G118" s="45">
        <f>G56*C146</f>
        <v>23952.556680421276</v>
      </c>
      <c r="H118" s="45">
        <f>H56*C146</f>
        <v>22916.171675207192</v>
      </c>
      <c r="I118" s="45">
        <f>I56*C146</f>
        <v>21879.786669993111</v>
      </c>
      <c r="J118" s="4"/>
      <c r="K118" s="4"/>
      <c r="L118" s="4"/>
    </row>
    <row r="119" spans="1:12" ht="12.75" customHeight="1" x14ac:dyDescent="0.25">
      <c r="A119" s="31" t="s">
        <v>56</v>
      </c>
      <c r="B119" s="38"/>
      <c r="C119" s="217">
        <v>40698</v>
      </c>
      <c r="D119" s="31"/>
      <c r="E119" s="31" t="s">
        <v>56</v>
      </c>
      <c r="F119" s="34"/>
      <c r="G119" s="45">
        <f>G56*C147</f>
        <v>49128.398844100979</v>
      </c>
      <c r="H119" s="45">
        <f>H56*C147</f>
        <v>47002.699422050486</v>
      </c>
      <c r="I119" s="45">
        <f>I56*C147</f>
        <v>44877</v>
      </c>
      <c r="J119" s="4"/>
      <c r="K119" s="4"/>
      <c r="L119" s="4"/>
    </row>
    <row r="120" spans="1:12" ht="12.75" customHeight="1" x14ac:dyDescent="0.25">
      <c r="A120" s="31"/>
      <c r="B120" s="38"/>
      <c r="C120" s="32"/>
      <c r="D120" s="31"/>
      <c r="E120" s="31"/>
      <c r="F120" s="34"/>
      <c r="G120" s="45"/>
      <c r="H120" s="45"/>
      <c r="I120" s="45"/>
      <c r="J120" s="4"/>
      <c r="K120" s="4"/>
      <c r="L120" s="4"/>
    </row>
    <row r="121" spans="1:12" ht="12.75" customHeight="1" x14ac:dyDescent="0.25">
      <c r="A121" s="21" t="s">
        <v>0</v>
      </c>
      <c r="B121" s="38"/>
      <c r="C121" s="32"/>
      <c r="D121" s="31"/>
      <c r="E121" s="21" t="s">
        <v>0</v>
      </c>
      <c r="F121" s="34"/>
      <c r="G121" s="45"/>
      <c r="H121" s="45"/>
      <c r="I121" s="45"/>
      <c r="J121" s="4"/>
      <c r="K121" s="4"/>
      <c r="L121" s="4"/>
    </row>
    <row r="122" spans="1:12" ht="12.75" customHeight="1" x14ac:dyDescent="0.25">
      <c r="A122" s="31" t="s">
        <v>50</v>
      </c>
      <c r="B122" s="38"/>
      <c r="C122" s="217">
        <v>4198.7213442688535</v>
      </c>
      <c r="D122" s="31"/>
      <c r="E122" s="31" t="s">
        <v>50</v>
      </c>
      <c r="F122" s="34"/>
      <c r="G122" s="45">
        <f>G57*C150</f>
        <v>4876.2901627515676</v>
      </c>
      <c r="H122" s="45">
        <f>H57*C150</f>
        <v>4650.3828169874032</v>
      </c>
      <c r="I122" s="45">
        <f>I57*C150</f>
        <v>4424.4754712232379</v>
      </c>
      <c r="J122" s="4"/>
      <c r="K122" s="4"/>
      <c r="L122" s="4"/>
    </row>
    <row r="123" spans="1:12" ht="12.75" customHeight="1" x14ac:dyDescent="0.25">
      <c r="A123" s="31" t="s">
        <v>51</v>
      </c>
      <c r="B123" s="38"/>
      <c r="C123" s="217">
        <v>7861.9057905790578</v>
      </c>
      <c r="D123" s="31"/>
      <c r="E123" s="31" t="s">
        <v>51</v>
      </c>
      <c r="F123" s="34"/>
      <c r="G123" s="45">
        <f>G57*C151</f>
        <v>9130.6211400309221</v>
      </c>
      <c r="H123" s="45">
        <f>H57*C151</f>
        <v>8707.6203919050877</v>
      </c>
      <c r="I123" s="45">
        <f>I57*C151</f>
        <v>8284.6196437792532</v>
      </c>
      <c r="J123" s="4"/>
      <c r="K123" s="4"/>
      <c r="L123" s="4"/>
    </row>
    <row r="124" spans="1:12" ht="12.75" customHeight="1" x14ac:dyDescent="0.25">
      <c r="A124" s="31" t="s">
        <v>52</v>
      </c>
      <c r="B124" s="38"/>
      <c r="C124" s="217">
        <v>9171.1506367091133</v>
      </c>
      <c r="D124" s="31"/>
      <c r="E124" s="31" t="s">
        <v>52</v>
      </c>
      <c r="F124" s="34"/>
      <c r="G124" s="45">
        <f>G57*C152</f>
        <v>10651.145423580134</v>
      </c>
      <c r="H124" s="45">
        <f>H57*C152</f>
        <v>10157.702270756885</v>
      </c>
      <c r="I124" s="45">
        <f>I57*C152</f>
        <v>9664.2591179336378</v>
      </c>
      <c r="J124" s="4"/>
      <c r="K124" s="4"/>
      <c r="L124" s="4"/>
    </row>
    <row r="125" spans="1:12" ht="12.75" customHeight="1" x14ac:dyDescent="0.25">
      <c r="A125" s="31" t="s">
        <v>53</v>
      </c>
      <c r="B125" s="38"/>
      <c r="C125" s="217">
        <v>11110.554894195768</v>
      </c>
      <c r="D125" s="31"/>
      <c r="E125" s="31" t="s">
        <v>53</v>
      </c>
      <c r="F125" s="34"/>
      <c r="G125" s="45">
        <f>G57*C153</f>
        <v>12903.521117739825</v>
      </c>
      <c r="H125" s="45">
        <f>H57*C153</f>
        <v>12305.730561921959</v>
      </c>
      <c r="I125" s="45">
        <f>I57*C153</f>
        <v>11707.940006104092</v>
      </c>
      <c r="J125" s="4"/>
      <c r="K125" s="4"/>
      <c r="L125" s="4"/>
    </row>
    <row r="126" spans="1:12" ht="12.75" customHeight="1" x14ac:dyDescent="0.25">
      <c r="A126" s="31" t="s">
        <v>54</v>
      </c>
      <c r="B126" s="38"/>
      <c r="C126" s="217">
        <v>12712.006840273611</v>
      </c>
      <c r="D126" s="31"/>
      <c r="E126" s="31" t="s">
        <v>54</v>
      </c>
      <c r="F126" s="34"/>
      <c r="G126" s="45">
        <f>G57*C154</f>
        <v>14763.407433233951</v>
      </c>
      <c r="H126" s="45">
        <f>H57*C154</f>
        <v>14079.452607667361</v>
      </c>
      <c r="I126" s="45">
        <f>I57*C154</f>
        <v>13395.497782100772</v>
      </c>
      <c r="J126" s="4"/>
      <c r="K126" s="4"/>
      <c r="L126" s="4"/>
    </row>
    <row r="127" spans="1:12" ht="12.75" customHeight="1" x14ac:dyDescent="0.25">
      <c r="A127" s="31" t="s">
        <v>55</v>
      </c>
      <c r="B127" s="38"/>
      <c r="C127" s="217">
        <v>14242.716428657146</v>
      </c>
      <c r="D127" s="31"/>
      <c r="E127" s="31" t="s">
        <v>55</v>
      </c>
      <c r="F127" s="34"/>
      <c r="G127" s="45">
        <f>G57*C155</f>
        <v>16541.135340338948</v>
      </c>
      <c r="H127" s="45">
        <f>H57*C155</f>
        <v>15774.822455760061</v>
      </c>
      <c r="I127" s="45">
        <f>I57*C155</f>
        <v>15008.509571181174</v>
      </c>
      <c r="J127" s="4"/>
      <c r="K127" s="4"/>
      <c r="L127" s="4"/>
    </row>
    <row r="128" spans="1:12" ht="12.75" customHeight="1" x14ac:dyDescent="0.25">
      <c r="A128" s="31" t="s">
        <v>57</v>
      </c>
      <c r="B128" s="38"/>
      <c r="C128" s="217">
        <v>16497</v>
      </c>
      <c r="D128" s="31"/>
      <c r="E128" s="31" t="s">
        <v>57</v>
      </c>
      <c r="F128" s="34"/>
      <c r="G128" s="45">
        <f>G57*C156</f>
        <v>19159.204009743778</v>
      </c>
      <c r="H128" s="45">
        <f>H57*C156</f>
        <v>18271.602004871889</v>
      </c>
      <c r="I128" s="45">
        <f>I57*C156</f>
        <v>17384</v>
      </c>
      <c r="J128" s="4"/>
      <c r="K128" s="4"/>
      <c r="L128" s="4"/>
    </row>
    <row r="129" spans="1:12" ht="12.75" customHeight="1" x14ac:dyDescent="0.25">
      <c r="A129" s="31"/>
      <c r="B129" s="38"/>
      <c r="C129" s="32"/>
      <c r="D129" s="31"/>
      <c r="E129" s="31"/>
      <c r="F129" s="34"/>
      <c r="G129" s="45"/>
      <c r="H129" s="45"/>
      <c r="I129" s="45"/>
      <c r="J129" s="4"/>
      <c r="K129" s="4"/>
      <c r="L129" s="4"/>
    </row>
    <row r="130" spans="1:12" ht="12.75" customHeight="1" x14ac:dyDescent="0.25">
      <c r="A130" s="21" t="s">
        <v>58</v>
      </c>
      <c r="B130" s="38"/>
      <c r="C130" s="38"/>
      <c r="D130" s="31"/>
      <c r="E130" s="21" t="s">
        <v>58</v>
      </c>
      <c r="F130" s="34"/>
      <c r="G130" s="45"/>
      <c r="H130" s="45"/>
      <c r="I130" s="45"/>
      <c r="J130" s="4"/>
      <c r="K130" s="4"/>
      <c r="L130" s="4"/>
    </row>
    <row r="131" spans="1:12" ht="12.75" customHeight="1" x14ac:dyDescent="0.25">
      <c r="A131" s="31" t="s">
        <v>50</v>
      </c>
      <c r="B131" s="38"/>
      <c r="C131" s="32">
        <f>C113+C122</f>
        <v>6577.393678735747</v>
      </c>
      <c r="D131" s="31"/>
      <c r="E131" s="31" t="s">
        <v>50</v>
      </c>
      <c r="F131" s="34"/>
      <c r="G131" s="32">
        <f>G113+G122</f>
        <v>7747.693257918856</v>
      </c>
      <c r="H131" s="32">
        <f>H113+H122</f>
        <v>7397.5453498021488</v>
      </c>
      <c r="I131" s="32">
        <f>I113+I122</f>
        <v>7047.3974416854417</v>
      </c>
      <c r="J131" s="4"/>
      <c r="K131" s="4"/>
      <c r="L131" s="4"/>
    </row>
    <row r="132" spans="1:12" ht="12.75" customHeight="1" x14ac:dyDescent="0.25">
      <c r="A132" s="31" t="s">
        <v>51</v>
      </c>
      <c r="B132" s="38"/>
      <c r="C132" s="32">
        <f t="shared" ref="C132:C137" si="14">C114+C123</f>
        <v>13351.750375037504</v>
      </c>
      <c r="D132" s="31"/>
      <c r="E132" s="31" t="s">
        <v>51</v>
      </c>
      <c r="F132" s="34"/>
      <c r="G132" s="32">
        <f t="shared" ref="G132:I137" si="15">G114+G123</f>
        <v>15757.661150287011</v>
      </c>
      <c r="H132" s="32">
        <f t="shared" si="15"/>
        <v>15047.920035058854</v>
      </c>
      <c r="I132" s="32">
        <f t="shared" si="15"/>
        <v>14338.178919830698</v>
      </c>
      <c r="J132" s="4"/>
      <c r="K132" s="4"/>
      <c r="L132" s="4"/>
    </row>
    <row r="133" spans="1:12" ht="12.75" customHeight="1" x14ac:dyDescent="0.25">
      <c r="A133" s="31" t="s">
        <v>52</v>
      </c>
      <c r="B133" s="38"/>
      <c r="C133" s="32">
        <f t="shared" si="14"/>
        <v>16479.482712180812</v>
      </c>
      <c r="D133" s="31"/>
      <c r="E133" s="31" t="s">
        <v>52</v>
      </c>
      <c r="F133" s="34"/>
      <c r="G133" s="32">
        <f t="shared" si="15"/>
        <v>19473.364036015875</v>
      </c>
      <c r="H133" s="32">
        <f t="shared" si="15"/>
        <v>18598.198998358403</v>
      </c>
      <c r="I133" s="32">
        <f t="shared" si="15"/>
        <v>17723.033960700934</v>
      </c>
      <c r="J133" s="4"/>
      <c r="K133" s="4"/>
      <c r="L133" s="4"/>
    </row>
    <row r="134" spans="1:12" ht="12.75" customHeight="1" x14ac:dyDescent="0.25">
      <c r="A134" s="31" t="s">
        <v>53</v>
      </c>
      <c r="B134" s="38"/>
      <c r="C134" s="32">
        <f t="shared" si="14"/>
        <v>22270.16995079803</v>
      </c>
      <c r="D134" s="31"/>
      <c r="E134" s="31" t="s">
        <v>53</v>
      </c>
      <c r="F134" s="34"/>
      <c r="G134" s="32">
        <f t="shared" si="15"/>
        <v>26374.797825376329</v>
      </c>
      <c r="H134" s="32">
        <f t="shared" si="15"/>
        <v>25194.128816658435</v>
      </c>
      <c r="I134" s="32">
        <f t="shared" si="15"/>
        <v>24013.45980794054</v>
      </c>
      <c r="J134" s="4"/>
      <c r="K134" s="4"/>
      <c r="L134" s="4"/>
    </row>
    <row r="135" spans="1:12" ht="12.75" customHeight="1" x14ac:dyDescent="0.25">
      <c r="A135" s="31" t="s">
        <v>54</v>
      </c>
      <c r="B135" s="38"/>
      <c r="C135" s="32">
        <f t="shared" si="14"/>
        <v>28234.197887915518</v>
      </c>
      <c r="D135" s="31"/>
      <c r="E135" s="31" t="s">
        <v>54</v>
      </c>
      <c r="F135" s="34"/>
      <c r="G135" s="32">
        <f t="shared" si="15"/>
        <v>33500.947182678283</v>
      </c>
      <c r="H135" s="32">
        <f t="shared" si="15"/>
        <v>32006.251963506849</v>
      </c>
      <c r="I135" s="32">
        <f t="shared" si="15"/>
        <v>30511.556744335423</v>
      </c>
      <c r="J135" s="4"/>
      <c r="K135" s="4"/>
      <c r="L135" s="4"/>
    </row>
    <row r="136" spans="1:12" ht="12.75" customHeight="1" x14ac:dyDescent="0.25">
      <c r="A136" s="31" t="s">
        <v>55</v>
      </c>
      <c r="B136" s="38"/>
      <c r="C136" s="32">
        <f t="shared" si="14"/>
        <v>34085.031153246127</v>
      </c>
      <c r="D136" s="31"/>
      <c r="E136" s="31" t="s">
        <v>55</v>
      </c>
      <c r="F136" s="34"/>
      <c r="G136" s="32">
        <f t="shared" si="15"/>
        <v>40493.692020760223</v>
      </c>
      <c r="H136" s="32">
        <f t="shared" si="15"/>
        <v>38690.99413096725</v>
      </c>
      <c r="I136" s="32">
        <f t="shared" si="15"/>
        <v>36888.296241174285</v>
      </c>
      <c r="J136" s="4"/>
      <c r="K136" s="4"/>
      <c r="L136" s="4"/>
    </row>
    <row r="137" spans="1:12" ht="12.75" customHeight="1" x14ac:dyDescent="0.25">
      <c r="A137" s="31" t="s">
        <v>59</v>
      </c>
      <c r="B137" s="38"/>
      <c r="C137" s="32">
        <f t="shared" si="14"/>
        <v>57195</v>
      </c>
      <c r="D137" s="31"/>
      <c r="E137" s="31" t="s">
        <v>59</v>
      </c>
      <c r="F137" s="34"/>
      <c r="G137" s="32">
        <f t="shared" si="15"/>
        <v>68287.602853844757</v>
      </c>
      <c r="H137" s="32">
        <f t="shared" si="15"/>
        <v>65274.301426922379</v>
      </c>
      <c r="I137" s="32">
        <f t="shared" si="15"/>
        <v>62261</v>
      </c>
      <c r="J137" s="4"/>
      <c r="K137" s="4"/>
      <c r="L137" s="4"/>
    </row>
    <row r="138" spans="1:12" ht="12.75" customHeight="1" x14ac:dyDescent="0.25">
      <c r="A138" s="31"/>
      <c r="B138" s="38"/>
      <c r="C138" s="38"/>
      <c r="D138" s="31"/>
      <c r="E138" s="31"/>
      <c r="F138" s="34"/>
      <c r="G138" s="45"/>
      <c r="H138" s="45"/>
      <c r="I138" s="56"/>
      <c r="J138" s="4"/>
      <c r="K138" s="4"/>
      <c r="L138" s="4"/>
    </row>
    <row r="139" spans="1:12" ht="12.75" customHeight="1" x14ac:dyDescent="0.25">
      <c r="A139" s="21" t="s">
        <v>60</v>
      </c>
      <c r="B139" s="38"/>
      <c r="C139" s="38"/>
      <c r="D139" s="31"/>
      <c r="E139" s="31"/>
      <c r="F139" s="34"/>
      <c r="G139" s="45"/>
      <c r="H139" s="45"/>
      <c r="I139" s="56"/>
      <c r="J139" s="4"/>
      <c r="K139" s="4"/>
      <c r="L139" s="4"/>
    </row>
    <row r="140" spans="1:12" ht="12.75" customHeight="1" x14ac:dyDescent="0.25">
      <c r="A140" s="21" t="s">
        <v>49</v>
      </c>
      <c r="B140" s="38"/>
      <c r="C140" s="38"/>
      <c r="D140" s="31"/>
      <c r="E140" s="31"/>
      <c r="F140" s="34"/>
      <c r="G140" s="45"/>
      <c r="H140" s="45"/>
      <c r="I140" s="56"/>
      <c r="J140" s="4"/>
      <c r="K140" s="4"/>
      <c r="L140" s="4"/>
    </row>
    <row r="141" spans="1:12" ht="12.75" customHeight="1" x14ac:dyDescent="0.25">
      <c r="A141" s="31" t="s">
        <v>50</v>
      </c>
      <c r="B141" s="38"/>
      <c r="C141" s="38">
        <f>C113/C119</f>
        <v>5.844690978590824E-2</v>
      </c>
      <c r="D141" s="38">
        <v>6.9462938304482913E-2</v>
      </c>
      <c r="E141" s="38">
        <f>+C141-D141</f>
        <v>-1.1016028518574673E-2</v>
      </c>
      <c r="F141" s="34"/>
      <c r="G141" s="45"/>
      <c r="H141" s="45"/>
      <c r="I141" s="56"/>
      <c r="J141" s="4"/>
      <c r="K141" s="4"/>
      <c r="L141" s="4"/>
    </row>
    <row r="142" spans="1:12" ht="12.75" customHeight="1" x14ac:dyDescent="0.25">
      <c r="A142" s="31" t="s">
        <v>51</v>
      </c>
      <c r="B142" s="38"/>
      <c r="C142" s="38">
        <f>C114/C119</f>
        <v>0.13489224493730517</v>
      </c>
      <c r="D142" s="38">
        <v>0.16841433644030182</v>
      </c>
      <c r="E142" s="38">
        <f t="shared" ref="E142:E147" si="16">+C142-D142</f>
        <v>-3.3522091502996648E-2</v>
      </c>
      <c r="F142" s="34"/>
      <c r="G142" s="45"/>
      <c r="H142" s="45"/>
      <c r="I142" s="56"/>
      <c r="J142" s="4"/>
      <c r="K142" s="4"/>
      <c r="L142" s="4"/>
    </row>
    <row r="143" spans="1:12" ht="12.75" customHeight="1" x14ac:dyDescent="0.25">
      <c r="A143" s="31" t="s">
        <v>52</v>
      </c>
      <c r="B143" s="38"/>
      <c r="C143" s="38">
        <f>C115/C119</f>
        <v>0.17957472297094937</v>
      </c>
      <c r="D143" s="38">
        <v>0.226725477141589</v>
      </c>
      <c r="E143" s="38">
        <f t="shared" si="16"/>
        <v>-4.715075417063963E-2</v>
      </c>
      <c r="F143" s="34"/>
      <c r="G143" s="45"/>
      <c r="H143" s="45"/>
      <c r="I143" s="56"/>
      <c r="J143" s="4"/>
      <c r="K143" s="4"/>
      <c r="L143" s="4"/>
    </row>
    <row r="144" spans="1:12" ht="12.75" customHeight="1" x14ac:dyDescent="0.25">
      <c r="A144" s="31" t="s">
        <v>53</v>
      </c>
      <c r="B144" s="38"/>
      <c r="C144" s="38">
        <f>C116/C119</f>
        <v>0.2742054906040165</v>
      </c>
      <c r="D144" s="38">
        <v>0.35505437194851308</v>
      </c>
      <c r="E144" s="38">
        <f t="shared" si="16"/>
        <v>-8.0848881344496581E-2</v>
      </c>
      <c r="F144" s="34"/>
      <c r="G144" s="45"/>
      <c r="H144" s="45"/>
      <c r="I144" s="56"/>
      <c r="J144" s="4"/>
      <c r="K144" s="4"/>
      <c r="L144" s="4"/>
    </row>
    <row r="145" spans="1:12" ht="12.75" customHeight="1" x14ac:dyDescent="0.25">
      <c r="A145" s="31" t="s">
        <v>54</v>
      </c>
      <c r="B145" s="38"/>
      <c r="C145" s="38">
        <f>C117/C119</f>
        <v>0.38139935740434189</v>
      </c>
      <c r="D145" s="38">
        <v>0.48305037727474476</v>
      </c>
      <c r="E145" s="38">
        <f t="shared" si="16"/>
        <v>-0.10165101987040287</v>
      </c>
      <c r="F145" s="34"/>
      <c r="G145" s="45"/>
      <c r="H145" s="45"/>
      <c r="I145" s="56"/>
      <c r="J145" s="4"/>
      <c r="K145" s="4"/>
      <c r="L145" s="4"/>
    </row>
    <row r="146" spans="1:12" ht="12.75" customHeight="1" x14ac:dyDescent="0.25">
      <c r="A146" s="31" t="s">
        <v>55</v>
      </c>
      <c r="B146" s="38"/>
      <c r="C146" s="38">
        <f>C118/C119</f>
        <v>0.48755011854609515</v>
      </c>
      <c r="D146" s="38">
        <v>0.60835552596537945</v>
      </c>
      <c r="E146" s="38">
        <f t="shared" si="16"/>
        <v>-0.12080540741928431</v>
      </c>
      <c r="F146" s="34"/>
      <c r="G146" s="45"/>
      <c r="H146" s="45"/>
      <c r="I146" s="56"/>
      <c r="J146" s="4"/>
      <c r="K146" s="4"/>
      <c r="L146" s="4"/>
    </row>
    <row r="147" spans="1:12" ht="12.75" customHeight="1" x14ac:dyDescent="0.25">
      <c r="A147" s="31" t="s">
        <v>56</v>
      </c>
      <c r="B147" s="38"/>
      <c r="C147" s="38">
        <f>C119/C119</f>
        <v>1</v>
      </c>
      <c r="D147" s="38">
        <v>1</v>
      </c>
      <c r="E147" s="38">
        <f t="shared" si="16"/>
        <v>0</v>
      </c>
      <c r="F147" s="34"/>
      <c r="G147" s="45"/>
      <c r="H147" s="45"/>
      <c r="I147" s="56"/>
      <c r="J147" s="4"/>
      <c r="K147" s="4"/>
      <c r="L147" s="4"/>
    </row>
    <row r="148" spans="1:12" ht="12.75" customHeight="1" x14ac:dyDescent="0.25">
      <c r="A148" s="31"/>
      <c r="B148" s="38"/>
      <c r="C148" s="38"/>
      <c r="D148" s="38"/>
      <c r="E148" s="31"/>
      <c r="F148" s="34"/>
      <c r="G148" s="45"/>
      <c r="H148" s="45"/>
      <c r="I148" s="56"/>
      <c r="J148" s="4"/>
      <c r="K148" s="4"/>
      <c r="L148" s="4"/>
    </row>
    <row r="149" spans="1:12" ht="12.75" customHeight="1" x14ac:dyDescent="0.25">
      <c r="A149" s="21" t="s">
        <v>0</v>
      </c>
      <c r="B149" s="38"/>
      <c r="C149" s="38"/>
      <c r="D149" s="38"/>
      <c r="E149" s="31"/>
      <c r="F149" s="34"/>
      <c r="G149" s="45"/>
      <c r="H149" s="45"/>
      <c r="I149" s="56"/>
      <c r="J149" s="4"/>
      <c r="K149" s="4"/>
      <c r="L149" s="4"/>
    </row>
    <row r="150" spans="1:12" ht="12.75" customHeight="1" x14ac:dyDescent="0.25">
      <c r="A150" s="31" t="s">
        <v>50</v>
      </c>
      <c r="B150" s="38"/>
      <c r="C150" s="38">
        <f>C122/C128</f>
        <v>0.25451423557427738</v>
      </c>
      <c r="D150" s="38">
        <v>0.2683127572016461</v>
      </c>
      <c r="E150" s="38">
        <f>+C150-D150</f>
        <v>-1.3798521627368721E-2</v>
      </c>
      <c r="F150" s="34"/>
      <c r="G150" s="45"/>
      <c r="H150" s="45"/>
      <c r="I150" s="56"/>
      <c r="J150" s="4"/>
      <c r="K150" s="4"/>
      <c r="L150" s="4"/>
    </row>
    <row r="151" spans="1:12" ht="12.75" customHeight="1" x14ac:dyDescent="0.25">
      <c r="A151" s="31" t="s">
        <v>51</v>
      </c>
      <c r="B151" s="38"/>
      <c r="C151" s="38">
        <f>C123/C128</f>
        <v>0.4765657871479092</v>
      </c>
      <c r="D151" s="38">
        <v>0.47331433998100664</v>
      </c>
      <c r="E151" s="38">
        <f t="shared" ref="E151:E156" si="17">+C151-D151</f>
        <v>3.2514471669025657E-3</v>
      </c>
      <c r="F151" s="34"/>
      <c r="G151" s="45"/>
      <c r="H151" s="45"/>
      <c r="I151" s="56"/>
      <c r="J151" s="4"/>
      <c r="K151" s="4"/>
      <c r="L151" s="4"/>
    </row>
    <row r="152" spans="1:12" ht="12.75" customHeight="1" x14ac:dyDescent="0.25">
      <c r="A152" s="31" t="s">
        <v>52</v>
      </c>
      <c r="B152" s="38"/>
      <c r="C152" s="38">
        <f>C124/C128</f>
        <v>0.55592838920465015</v>
      </c>
      <c r="D152" s="38">
        <v>0.56885090218423551</v>
      </c>
      <c r="E152" s="38">
        <f t="shared" si="17"/>
        <v>-1.2922512979585354E-2</v>
      </c>
      <c r="F152" s="34"/>
      <c r="G152" s="45"/>
      <c r="H152" s="45"/>
      <c r="I152" s="56"/>
      <c r="J152" s="4"/>
      <c r="K152" s="4"/>
      <c r="L152" s="4"/>
    </row>
    <row r="153" spans="1:12" ht="12.75" customHeight="1" x14ac:dyDescent="0.25">
      <c r="A153" s="31" t="s">
        <v>53</v>
      </c>
      <c r="B153" s="38"/>
      <c r="C153" s="38">
        <f>C125/C128</f>
        <v>0.67348941590566569</v>
      </c>
      <c r="D153" s="38">
        <v>0.71832858499525165</v>
      </c>
      <c r="E153" s="38">
        <f t="shared" si="17"/>
        <v>-4.4839169089585962E-2</v>
      </c>
      <c r="F153" s="34"/>
      <c r="G153" s="45"/>
      <c r="H153" s="45"/>
      <c r="I153" s="56"/>
      <c r="J153" s="4"/>
      <c r="K153" s="4"/>
      <c r="L153" s="4"/>
    </row>
    <row r="154" spans="1:12" ht="12.75" customHeight="1" x14ac:dyDescent="0.25">
      <c r="A154" s="31" t="s">
        <v>54</v>
      </c>
      <c r="B154" s="38"/>
      <c r="C154" s="38">
        <f>C126/C128</f>
        <v>0.77056475966985571</v>
      </c>
      <c r="D154" s="38">
        <v>0.81494143716365941</v>
      </c>
      <c r="E154" s="38">
        <f t="shared" si="17"/>
        <v>-4.4376677493803696E-2</v>
      </c>
      <c r="F154" s="34"/>
      <c r="G154" s="45"/>
      <c r="H154" s="45"/>
      <c r="I154" s="56"/>
      <c r="J154" s="4"/>
      <c r="K154" s="4"/>
      <c r="L154" s="4"/>
    </row>
    <row r="155" spans="1:12" ht="12.75" customHeight="1" x14ac:dyDescent="0.25">
      <c r="A155" s="31" t="s">
        <v>55</v>
      </c>
      <c r="B155" s="38"/>
      <c r="C155" s="38">
        <f>C127/C128</f>
        <v>0.86335190814433815</v>
      </c>
      <c r="D155" s="38">
        <v>0.88148148148148153</v>
      </c>
      <c r="E155" s="38">
        <f t="shared" si="17"/>
        <v>-1.8129573337143379E-2</v>
      </c>
      <c r="F155" s="34"/>
      <c r="G155" s="45"/>
      <c r="H155" s="45"/>
      <c r="I155" s="56"/>
      <c r="J155" s="4"/>
      <c r="K155" s="4"/>
      <c r="L155" s="4"/>
    </row>
    <row r="156" spans="1:12" ht="12.75" customHeight="1" x14ac:dyDescent="0.25">
      <c r="A156" s="31" t="s">
        <v>57</v>
      </c>
      <c r="B156" s="38"/>
      <c r="C156" s="38">
        <f>C128/C128</f>
        <v>1</v>
      </c>
      <c r="D156" s="38">
        <v>1</v>
      </c>
      <c r="E156" s="38">
        <f t="shared" si="17"/>
        <v>0</v>
      </c>
      <c r="F156" s="34"/>
      <c r="G156" s="45"/>
      <c r="H156" s="45"/>
      <c r="I156" s="56"/>
      <c r="J156" s="4"/>
      <c r="K156" s="4"/>
      <c r="L156" s="4"/>
    </row>
    <row r="157" spans="1:12" ht="12.75" customHeight="1" x14ac:dyDescent="0.25">
      <c r="A157" s="31"/>
      <c r="B157" s="38"/>
      <c r="C157" s="38"/>
      <c r="D157" s="38"/>
      <c r="E157" s="31"/>
      <c r="F157" s="34"/>
      <c r="G157" s="45"/>
      <c r="H157" s="45"/>
      <c r="I157" s="56"/>
      <c r="J157" s="4"/>
      <c r="K157" s="4"/>
      <c r="L157" s="4"/>
    </row>
    <row r="158" spans="1:12" ht="12.75" customHeight="1" x14ac:dyDescent="0.25">
      <c r="A158" s="21" t="s">
        <v>58</v>
      </c>
      <c r="B158" s="38"/>
      <c r="C158" s="38"/>
      <c r="D158" s="38"/>
      <c r="E158" s="31"/>
      <c r="F158" s="34"/>
      <c r="G158" s="45"/>
      <c r="H158" s="45"/>
      <c r="I158" s="56"/>
      <c r="J158" s="4"/>
      <c r="K158" s="4"/>
      <c r="L158" s="4"/>
    </row>
    <row r="159" spans="1:12" ht="12.75" customHeight="1" x14ac:dyDescent="0.25">
      <c r="A159" s="31" t="s">
        <v>50</v>
      </c>
      <c r="B159" s="38"/>
      <c r="C159" s="38">
        <f>C131/C137</f>
        <v>0.11499945237758102</v>
      </c>
      <c r="D159" s="38">
        <v>0.13004648650733946</v>
      </c>
      <c r="E159" s="38">
        <f>+C159-D159</f>
        <v>-1.5047034129758441E-2</v>
      </c>
      <c r="F159" s="34"/>
      <c r="G159" s="45"/>
      <c r="H159" s="45"/>
      <c r="I159" s="56"/>
      <c r="J159" s="4"/>
      <c r="K159" s="4"/>
      <c r="L159" s="4"/>
    </row>
    <row r="160" spans="1:12" ht="12.75" customHeight="1" x14ac:dyDescent="0.25">
      <c r="A160" s="31" t="s">
        <v>51</v>
      </c>
      <c r="B160" s="38"/>
      <c r="C160" s="38">
        <f>C132/C137</f>
        <v>0.23344261517680748</v>
      </c>
      <c r="D160" s="38">
        <v>0.26130818046795129</v>
      </c>
      <c r="E160" s="38">
        <f t="shared" ref="E160:E165" si="18">+C160-D160</f>
        <v>-2.7865565291143812E-2</v>
      </c>
      <c r="F160" s="34"/>
      <c r="G160" s="45"/>
      <c r="H160" s="45"/>
      <c r="I160" s="56"/>
      <c r="J160" s="4"/>
      <c r="K160" s="4"/>
      <c r="L160" s="4"/>
    </row>
    <row r="161" spans="1:12" ht="12.75" customHeight="1" x14ac:dyDescent="0.25">
      <c r="A161" s="31" t="s">
        <v>52</v>
      </c>
      <c r="B161" s="38"/>
      <c r="C161" s="38">
        <f>C133/C137</f>
        <v>0.28812803063520959</v>
      </c>
      <c r="D161" s="38">
        <v>0.33096078544837298</v>
      </c>
      <c r="E161" s="38">
        <f t="shared" si="18"/>
        <v>-4.2832754813163398E-2</v>
      </c>
      <c r="F161" s="34"/>
      <c r="G161" s="45"/>
      <c r="H161" s="45"/>
      <c r="I161" s="56"/>
      <c r="J161" s="4"/>
      <c r="K161" s="4"/>
      <c r="L161" s="4"/>
    </row>
    <row r="162" spans="1:12" ht="12.75" customHeight="1" x14ac:dyDescent="0.25">
      <c r="A162" s="31" t="s">
        <v>53</v>
      </c>
      <c r="B162" s="38"/>
      <c r="C162" s="38">
        <f>C134/C137</f>
        <v>0.3893726715761523</v>
      </c>
      <c r="D162" s="38">
        <v>0.46573307871843839</v>
      </c>
      <c r="E162" s="38">
        <f t="shared" si="18"/>
        <v>-7.6360407142286091E-2</v>
      </c>
      <c r="F162" s="34"/>
      <c r="G162" s="45"/>
      <c r="H162" s="45"/>
      <c r="I162" s="56"/>
      <c r="J162" s="4"/>
      <c r="K162" s="4"/>
      <c r="L162" s="4"/>
    </row>
    <row r="163" spans="1:12" ht="12.75" customHeight="1" x14ac:dyDescent="0.25">
      <c r="A163" s="31" t="s">
        <v>54</v>
      </c>
      <c r="B163" s="38"/>
      <c r="C163" s="38">
        <f>C135/C137</f>
        <v>0.49364800923009911</v>
      </c>
      <c r="D163" s="38">
        <v>0.58416758289450843</v>
      </c>
      <c r="E163" s="38">
        <f t="shared" si="18"/>
        <v>-9.0519573664409325E-2</v>
      </c>
      <c r="F163" s="34"/>
      <c r="G163" s="45"/>
      <c r="H163" s="45"/>
      <c r="I163" s="56"/>
      <c r="J163" s="4"/>
      <c r="K163" s="4"/>
      <c r="L163" s="4"/>
    </row>
    <row r="164" spans="1:12" ht="12.75" customHeight="1" x14ac:dyDescent="0.25">
      <c r="A164" s="31" t="s">
        <v>55</v>
      </c>
      <c r="B164" s="38"/>
      <c r="C164" s="38">
        <f>C136/C137</f>
        <v>0.59594424605727991</v>
      </c>
      <c r="D164" s="38">
        <v>0.69156877495515301</v>
      </c>
      <c r="E164" s="38">
        <f t="shared" si="18"/>
        <v>-9.5624528897873096E-2</v>
      </c>
      <c r="F164" s="34"/>
      <c r="G164" s="45"/>
      <c r="H164" s="45"/>
      <c r="I164" s="56"/>
      <c r="J164" s="4"/>
      <c r="K164" s="4"/>
      <c r="L164" s="4"/>
    </row>
    <row r="165" spans="1:12" ht="12.75" customHeight="1" x14ac:dyDescent="0.25">
      <c r="A165" s="31" t="s">
        <v>59</v>
      </c>
      <c r="B165" s="38"/>
      <c r="C165" s="38">
        <f>C137/C137</f>
        <v>1</v>
      </c>
      <c r="D165" s="38">
        <v>1</v>
      </c>
      <c r="E165" s="38">
        <f t="shared" si="18"/>
        <v>0</v>
      </c>
      <c r="F165" s="34"/>
      <c r="G165" s="45"/>
      <c r="H165" s="45"/>
      <c r="I165" s="56"/>
      <c r="J165" s="4"/>
      <c r="K165" s="4"/>
      <c r="L165" s="4"/>
    </row>
    <row r="166" spans="1:12" ht="12.75" customHeight="1" x14ac:dyDescent="0.25">
      <c r="A166" s="31"/>
      <c r="B166" s="38"/>
      <c r="C166" s="38"/>
      <c r="D166" s="31"/>
      <c r="E166" s="31"/>
      <c r="F166" s="34"/>
      <c r="G166" s="45"/>
      <c r="H166" s="45"/>
      <c r="I166" s="56"/>
      <c r="J166" s="4"/>
      <c r="K166" s="4"/>
      <c r="L166" s="4"/>
    </row>
    <row r="167" spans="1:12" ht="12.75" customHeight="1" x14ac:dyDescent="0.25">
      <c r="A167" s="20"/>
      <c r="B167" s="20"/>
      <c r="C167" s="20"/>
      <c r="D167" s="20"/>
      <c r="E167" s="20"/>
      <c r="F167" s="20"/>
      <c r="G167" s="20"/>
      <c r="H167" s="20"/>
      <c r="I167" s="20"/>
    </row>
    <row r="168" spans="1:12" ht="12.75" customHeight="1" x14ac:dyDescent="0.25">
      <c r="A168" s="20"/>
      <c r="B168" s="20"/>
      <c r="C168" s="20"/>
      <c r="D168" s="20"/>
      <c r="E168" s="20"/>
      <c r="F168" s="20"/>
      <c r="G168" s="20"/>
      <c r="H168" s="20"/>
      <c r="I168" s="20"/>
    </row>
    <row r="169" spans="1:12" ht="12.75" customHeight="1" x14ac:dyDescent="0.25">
      <c r="A169" s="20"/>
      <c r="B169" s="20"/>
      <c r="C169" s="20"/>
      <c r="D169" s="20"/>
      <c r="E169" s="20"/>
      <c r="F169" s="20"/>
      <c r="G169" s="20"/>
      <c r="H169" s="20"/>
      <c r="I169" s="20"/>
    </row>
    <row r="170" spans="1:12" ht="12.75" customHeight="1" x14ac:dyDescent="0.25">
      <c r="A170" s="20"/>
      <c r="B170" s="20"/>
      <c r="C170" s="20"/>
      <c r="D170" s="20"/>
      <c r="E170" s="20"/>
      <c r="F170" s="20"/>
      <c r="G170" s="20"/>
      <c r="H170" s="20"/>
      <c r="I170" s="20"/>
    </row>
    <row r="171" spans="1:12" ht="12.75" customHeight="1" x14ac:dyDescent="0.25">
      <c r="A171" s="20"/>
      <c r="B171" s="20"/>
      <c r="C171" s="20"/>
      <c r="D171" s="20"/>
      <c r="E171" s="20"/>
      <c r="F171" s="20"/>
      <c r="G171" s="20"/>
      <c r="H171" s="20"/>
      <c r="I171" s="20"/>
    </row>
    <row r="172" spans="1:12" ht="12.7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</row>
    <row r="173" spans="1:12" ht="12.75" customHeight="1" x14ac:dyDescent="0.25">
      <c r="A173" s="20"/>
      <c r="B173" s="20"/>
      <c r="C173" s="20"/>
      <c r="D173" s="20"/>
      <c r="E173" s="20"/>
      <c r="F173" s="20"/>
      <c r="G173" s="20"/>
      <c r="H173" s="20"/>
      <c r="I173" s="20"/>
    </row>
    <row r="174" spans="1:12" ht="12.75" customHeight="1" x14ac:dyDescent="0.25">
      <c r="A174" s="20"/>
      <c r="B174" s="20"/>
      <c r="C174" s="20"/>
      <c r="D174" s="20"/>
      <c r="E174" s="20"/>
      <c r="F174" s="20"/>
      <c r="G174" s="20"/>
      <c r="H174" s="20"/>
      <c r="I174" s="20"/>
    </row>
    <row r="175" spans="1:12" ht="12.75" customHeight="1" x14ac:dyDescent="0.25">
      <c r="A175" s="20"/>
      <c r="B175" s="20"/>
      <c r="C175" s="20"/>
      <c r="D175" s="20"/>
      <c r="E175" s="20"/>
      <c r="F175" s="20"/>
      <c r="G175" s="20"/>
      <c r="H175" s="20"/>
      <c r="I175" s="20"/>
    </row>
    <row r="176" spans="1:12" ht="12.75" customHeight="1" x14ac:dyDescent="0.25">
      <c r="A176" s="20"/>
      <c r="B176" s="20"/>
      <c r="C176" s="20"/>
      <c r="D176" s="20"/>
      <c r="E176" s="20"/>
      <c r="F176" s="20"/>
      <c r="G176" s="20"/>
      <c r="H176" s="20"/>
      <c r="I176" s="20"/>
    </row>
    <row r="177" spans="1:9" ht="12.75" customHeight="1" x14ac:dyDescent="0.25">
      <c r="A177" s="20"/>
      <c r="B177" s="20"/>
      <c r="C177" s="20"/>
      <c r="D177" s="20"/>
      <c r="E177" s="20"/>
      <c r="F177" s="20"/>
      <c r="G177" s="20"/>
      <c r="H177" s="20"/>
      <c r="I177" s="20"/>
    </row>
    <row r="178" spans="1:9" ht="12.75" customHeight="1" x14ac:dyDescent="0.25">
      <c r="A178" s="20"/>
      <c r="B178" s="20"/>
      <c r="C178" s="20"/>
      <c r="D178" s="20"/>
      <c r="E178" s="20"/>
      <c r="F178" s="20"/>
      <c r="G178" s="20"/>
      <c r="H178" s="20"/>
      <c r="I178" s="20"/>
    </row>
    <row r="179" spans="1:9" ht="12.75" customHeight="1" x14ac:dyDescent="0.25">
      <c r="A179" s="20"/>
      <c r="B179" s="20"/>
      <c r="C179" s="20"/>
      <c r="D179" s="20"/>
      <c r="E179" s="20"/>
      <c r="F179" s="20"/>
      <c r="G179" s="20"/>
      <c r="H179" s="20"/>
      <c r="I179" s="20"/>
    </row>
    <row r="180" spans="1:9" ht="12.75" customHeight="1" x14ac:dyDescent="0.25">
      <c r="A180" s="20"/>
      <c r="B180" s="20"/>
      <c r="C180" s="20"/>
      <c r="D180" s="20"/>
      <c r="E180" s="20"/>
      <c r="F180" s="20"/>
      <c r="G180" s="20"/>
      <c r="H180" s="20"/>
      <c r="I180" s="20"/>
    </row>
    <row r="181" spans="1:9" ht="12.75" customHeight="1" x14ac:dyDescent="0.25">
      <c r="A181" s="20"/>
      <c r="B181" s="20"/>
      <c r="C181" s="20"/>
      <c r="D181" s="20"/>
      <c r="E181" s="20"/>
      <c r="F181" s="20"/>
      <c r="G181" s="20"/>
      <c r="H181" s="20"/>
      <c r="I181" s="20"/>
    </row>
    <row r="182" spans="1:9" ht="12.75" customHeight="1" x14ac:dyDescent="0.25">
      <c r="A182" s="20"/>
      <c r="B182" s="20"/>
      <c r="C182" s="20"/>
      <c r="D182" s="20"/>
      <c r="E182" s="20"/>
      <c r="F182" s="20"/>
      <c r="G182" s="20"/>
      <c r="H182" s="20"/>
      <c r="I182" s="20"/>
    </row>
    <row r="183" spans="1:9" ht="12.75" customHeight="1" x14ac:dyDescent="0.25">
      <c r="A183" s="20"/>
      <c r="B183" s="20"/>
      <c r="C183" s="20"/>
      <c r="D183" s="20"/>
      <c r="E183" s="20"/>
      <c r="F183" s="20"/>
      <c r="G183" s="20"/>
      <c r="H183" s="20"/>
      <c r="I183" s="20"/>
    </row>
    <row r="184" spans="1:9" ht="12.75" customHeight="1" x14ac:dyDescent="0.25">
      <c r="A184" s="20"/>
      <c r="B184" s="20"/>
      <c r="C184" s="20"/>
      <c r="D184" s="20"/>
      <c r="E184" s="20"/>
      <c r="F184" s="20"/>
      <c r="G184" s="20"/>
      <c r="H184" s="20"/>
      <c r="I184" s="20"/>
    </row>
    <row r="185" spans="1:9" ht="12.75" customHeight="1" x14ac:dyDescent="0.25">
      <c r="A185" s="20"/>
      <c r="B185" s="20"/>
      <c r="C185" s="20"/>
      <c r="D185" s="20"/>
      <c r="E185" s="20"/>
      <c r="F185" s="20"/>
      <c r="G185" s="20"/>
      <c r="H185" s="20"/>
      <c r="I185" s="20"/>
    </row>
    <row r="186" spans="1:9" ht="12.75" customHeight="1" x14ac:dyDescent="0.25">
      <c r="A186" s="20"/>
      <c r="B186" s="20"/>
      <c r="C186" s="20"/>
      <c r="D186" s="20"/>
      <c r="E186" s="20"/>
      <c r="F186" s="20"/>
      <c r="G186" s="20"/>
      <c r="H186" s="20"/>
      <c r="I186" s="20"/>
    </row>
    <row r="187" spans="1:9" ht="12.75" customHeight="1" x14ac:dyDescent="0.25">
      <c r="A187" s="20"/>
      <c r="B187" s="20"/>
      <c r="C187" s="20"/>
      <c r="D187" s="20"/>
      <c r="E187" s="20"/>
      <c r="F187" s="20"/>
      <c r="G187" s="20"/>
      <c r="H187" s="20"/>
      <c r="I187" s="20"/>
    </row>
    <row r="188" spans="1:9" ht="12.75" customHeight="1" x14ac:dyDescent="0.25">
      <c r="A188" s="20"/>
      <c r="B188" s="20"/>
      <c r="C188" s="20"/>
      <c r="D188" s="20"/>
      <c r="E188" s="20"/>
      <c r="F188" s="20"/>
      <c r="G188" s="20"/>
      <c r="H188" s="20"/>
      <c r="I188" s="20"/>
    </row>
    <row r="189" spans="1:9" ht="12.75" customHeight="1" x14ac:dyDescent="0.25">
      <c r="A189" s="20"/>
      <c r="B189" s="20"/>
      <c r="C189" s="20"/>
      <c r="D189" s="20"/>
      <c r="E189" s="20"/>
      <c r="F189" s="20"/>
      <c r="G189" s="20"/>
      <c r="H189" s="20"/>
      <c r="I189" s="20"/>
    </row>
    <row r="190" spans="1:9" ht="12.75" customHeight="1" x14ac:dyDescent="0.25">
      <c r="A190" s="20"/>
      <c r="B190" s="20"/>
      <c r="C190" s="20"/>
      <c r="D190" s="20"/>
      <c r="E190" s="20"/>
      <c r="F190" s="20"/>
      <c r="G190" s="20"/>
      <c r="H190" s="20"/>
      <c r="I190" s="20"/>
    </row>
    <row r="191" spans="1:9" ht="12.75" customHeight="1" x14ac:dyDescent="0.25">
      <c r="A191" s="20"/>
      <c r="B191" s="20"/>
      <c r="C191" s="20"/>
      <c r="D191" s="20"/>
      <c r="E191" s="20"/>
      <c r="F191" s="20"/>
      <c r="G191" s="20"/>
      <c r="H191" s="20"/>
      <c r="I191" s="20"/>
    </row>
    <row r="192" spans="1:9" ht="12.75" customHeight="1" x14ac:dyDescent="0.25">
      <c r="A192" s="20"/>
      <c r="B192" s="20"/>
      <c r="C192" s="20"/>
      <c r="D192" s="20"/>
      <c r="E192" s="20"/>
      <c r="F192" s="20"/>
      <c r="G192" s="20"/>
      <c r="H192" s="20"/>
      <c r="I192" s="20"/>
    </row>
    <row r="193" spans="1:9" ht="12.75" customHeight="1" x14ac:dyDescent="0.25">
      <c r="A193" s="20"/>
      <c r="B193" s="20"/>
      <c r="C193" s="20"/>
      <c r="D193" s="20"/>
      <c r="E193" s="20"/>
      <c r="F193" s="20"/>
      <c r="G193" s="20"/>
      <c r="H193" s="20"/>
      <c r="I193" s="20"/>
    </row>
    <row r="194" spans="1:9" ht="12.75" customHeight="1" x14ac:dyDescent="0.25">
      <c r="A194" s="20"/>
      <c r="B194" s="20"/>
      <c r="C194" s="20"/>
      <c r="D194" s="20"/>
      <c r="E194" s="20"/>
      <c r="F194" s="20"/>
      <c r="G194" s="20"/>
      <c r="H194" s="20"/>
      <c r="I194" s="20"/>
    </row>
    <row r="195" spans="1:9" ht="12.75" customHeight="1" x14ac:dyDescent="0.25">
      <c r="A195" s="20"/>
      <c r="B195" s="20"/>
      <c r="C195" s="20"/>
      <c r="D195" s="20"/>
      <c r="E195" s="20"/>
      <c r="F195" s="20"/>
      <c r="G195" s="20"/>
      <c r="H195" s="20"/>
      <c r="I195" s="20"/>
    </row>
    <row r="196" spans="1:9" ht="12.75" customHeight="1" x14ac:dyDescent="0.25">
      <c r="A196" s="20"/>
      <c r="B196" s="20"/>
      <c r="C196" s="20"/>
      <c r="D196" s="20"/>
      <c r="E196" s="20"/>
      <c r="F196" s="20"/>
      <c r="G196" s="20"/>
      <c r="H196" s="20"/>
      <c r="I196" s="20"/>
    </row>
    <row r="197" spans="1:9" ht="12.75" customHeight="1" x14ac:dyDescent="0.25">
      <c r="A197" s="20"/>
      <c r="B197" s="20"/>
      <c r="C197" s="20"/>
      <c r="D197" s="20"/>
      <c r="E197" s="20"/>
      <c r="F197" s="20"/>
      <c r="G197" s="20"/>
      <c r="H197" s="20"/>
      <c r="I197" s="20"/>
    </row>
    <row r="198" spans="1:9" ht="12.75" customHeight="1" x14ac:dyDescent="0.25">
      <c r="A198" s="20"/>
      <c r="B198" s="20"/>
      <c r="C198" s="20"/>
      <c r="D198" s="20"/>
      <c r="E198" s="20"/>
      <c r="F198" s="20"/>
      <c r="G198" s="20"/>
      <c r="H198" s="20"/>
      <c r="I198" s="20"/>
    </row>
    <row r="199" spans="1:9" ht="12.75" customHeight="1" x14ac:dyDescent="0.25">
      <c r="A199" s="20"/>
      <c r="B199" s="20"/>
      <c r="C199" s="20"/>
      <c r="D199" s="20"/>
      <c r="E199" s="20"/>
      <c r="F199" s="20"/>
      <c r="G199" s="20"/>
      <c r="H199" s="20"/>
      <c r="I199" s="20"/>
    </row>
    <row r="200" spans="1:9" ht="12.75" customHeight="1" x14ac:dyDescent="0.25">
      <c r="A200" s="20"/>
      <c r="B200" s="20"/>
      <c r="C200" s="20"/>
      <c r="D200" s="20"/>
      <c r="E200" s="20"/>
      <c r="F200" s="20"/>
      <c r="G200" s="20"/>
      <c r="H200" s="20"/>
      <c r="I200" s="20"/>
    </row>
    <row r="201" spans="1:9" ht="12.75" customHeight="1" x14ac:dyDescent="0.25">
      <c r="A201" s="20"/>
      <c r="B201" s="20"/>
      <c r="C201" s="20"/>
      <c r="D201" s="20"/>
      <c r="E201" s="20"/>
      <c r="F201" s="20"/>
      <c r="G201" s="20"/>
      <c r="H201" s="20"/>
      <c r="I201" s="20"/>
    </row>
    <row r="202" spans="1:9" ht="12.75" customHeight="1" x14ac:dyDescent="0.25">
      <c r="A202" s="20"/>
      <c r="B202" s="20"/>
      <c r="C202" s="20"/>
      <c r="D202" s="20"/>
      <c r="E202" s="20"/>
      <c r="F202" s="20"/>
      <c r="G202" s="20"/>
      <c r="H202" s="20"/>
      <c r="I202" s="20"/>
    </row>
    <row r="203" spans="1:9" ht="12.75" customHeight="1" x14ac:dyDescent="0.25">
      <c r="A203" s="20"/>
      <c r="B203" s="20"/>
      <c r="C203" s="20"/>
      <c r="D203" s="20"/>
      <c r="E203" s="20"/>
      <c r="F203" s="20"/>
      <c r="G203" s="20"/>
      <c r="H203" s="20"/>
      <c r="I203" s="20"/>
    </row>
    <row r="204" spans="1:9" ht="12.75" customHeight="1" x14ac:dyDescent="0.25">
      <c r="A204" s="20"/>
      <c r="B204" s="20"/>
      <c r="C204" s="20"/>
      <c r="D204" s="20"/>
      <c r="E204" s="20"/>
      <c r="F204" s="20"/>
      <c r="G204" s="20"/>
      <c r="H204" s="20"/>
      <c r="I204" s="20"/>
    </row>
    <row r="205" spans="1:9" ht="12.75" customHeight="1" x14ac:dyDescent="0.25">
      <c r="A205" s="20"/>
      <c r="B205" s="20"/>
      <c r="C205" s="20"/>
      <c r="D205" s="20"/>
      <c r="E205" s="20"/>
      <c r="F205" s="20"/>
      <c r="G205" s="20"/>
      <c r="H205" s="20"/>
      <c r="I205" s="20"/>
    </row>
    <row r="206" spans="1:9" ht="12.75" customHeight="1" x14ac:dyDescent="0.25">
      <c r="A206" s="20"/>
      <c r="B206" s="20"/>
      <c r="C206" s="20"/>
      <c r="D206" s="20"/>
      <c r="E206" s="20"/>
      <c r="F206" s="20"/>
      <c r="G206" s="20"/>
      <c r="H206" s="20"/>
      <c r="I206" s="20"/>
    </row>
    <row r="207" spans="1:9" ht="12.75" customHeight="1" x14ac:dyDescent="0.25">
      <c r="A207" s="20"/>
      <c r="B207" s="20"/>
      <c r="C207" s="20"/>
      <c r="D207" s="20"/>
      <c r="E207" s="20"/>
      <c r="F207" s="20"/>
      <c r="G207" s="20"/>
      <c r="H207" s="20"/>
      <c r="I207" s="20"/>
    </row>
    <row r="208" spans="1:9" ht="12.75" customHeight="1" x14ac:dyDescent="0.25">
      <c r="A208" s="20"/>
      <c r="B208" s="20"/>
      <c r="C208" s="20"/>
      <c r="D208" s="20"/>
      <c r="E208" s="20"/>
      <c r="F208" s="20"/>
      <c r="G208" s="20"/>
      <c r="H208" s="20"/>
      <c r="I208" s="20"/>
    </row>
    <row r="209" spans="1:9" ht="12.75" customHeight="1" x14ac:dyDescent="0.25">
      <c r="A209" s="20"/>
      <c r="B209" s="20"/>
      <c r="C209" s="20"/>
      <c r="D209" s="20"/>
      <c r="E209" s="20"/>
      <c r="F209" s="20"/>
      <c r="G209" s="20"/>
      <c r="H209" s="20"/>
      <c r="I209" s="20"/>
    </row>
    <row r="210" spans="1:9" ht="12.75" customHeight="1" x14ac:dyDescent="0.25">
      <c r="A210" s="20"/>
      <c r="B210" s="20"/>
      <c r="C210" s="20"/>
      <c r="D210" s="20"/>
      <c r="E210" s="20"/>
      <c r="F210" s="20"/>
      <c r="G210" s="20"/>
      <c r="H210" s="20"/>
      <c r="I210" s="20"/>
    </row>
    <row r="211" spans="1:9" ht="12.75" customHeight="1" x14ac:dyDescent="0.25">
      <c r="A211" s="20"/>
      <c r="B211" s="20"/>
      <c r="C211" s="20"/>
      <c r="D211" s="20"/>
      <c r="E211" s="20"/>
      <c r="F211" s="20"/>
      <c r="G211" s="20"/>
      <c r="H211" s="20"/>
      <c r="I211" s="20"/>
    </row>
    <row r="212" spans="1:9" ht="12.75" customHeight="1" x14ac:dyDescent="0.25">
      <c r="A212" s="20"/>
      <c r="B212" s="20"/>
      <c r="C212" s="20"/>
      <c r="D212" s="20"/>
      <c r="E212" s="20"/>
      <c r="F212" s="20"/>
      <c r="G212" s="20"/>
      <c r="H212" s="20"/>
      <c r="I212" s="20"/>
    </row>
    <row r="213" spans="1:9" ht="12.75" customHeight="1" x14ac:dyDescent="0.25">
      <c r="A213" s="20"/>
      <c r="B213" s="20"/>
      <c r="C213" s="20"/>
      <c r="D213" s="20"/>
      <c r="E213" s="20"/>
      <c r="F213" s="20"/>
      <c r="G213" s="20"/>
      <c r="H213" s="20"/>
      <c r="I213" s="20"/>
    </row>
    <row r="214" spans="1:9" ht="12.75" customHeight="1" x14ac:dyDescent="0.25">
      <c r="A214" s="20"/>
      <c r="B214" s="20"/>
      <c r="C214" s="20"/>
      <c r="D214" s="20"/>
      <c r="E214" s="20"/>
      <c r="F214" s="20"/>
      <c r="G214" s="20"/>
      <c r="H214" s="20"/>
      <c r="I214" s="20"/>
    </row>
    <row r="215" spans="1:9" ht="12.75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</row>
    <row r="216" spans="1:9" ht="12.75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</row>
    <row r="217" spans="1:9" ht="12.75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</row>
    <row r="218" spans="1:9" ht="12.75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</row>
    <row r="219" spans="1:9" ht="12.75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</row>
    <row r="220" spans="1:9" ht="12.75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</row>
    <row r="221" spans="1:9" ht="12.75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</row>
    <row r="222" spans="1:9" ht="12.75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</row>
    <row r="223" spans="1:9" ht="12.75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</row>
    <row r="224" spans="1:9" ht="12.75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</row>
    <row r="225" spans="1:9" ht="12.75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</row>
    <row r="226" spans="1:9" ht="12.75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</row>
    <row r="227" spans="1:9" ht="12.75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</row>
    <row r="228" spans="1:9" ht="12.75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</row>
    <row r="229" spans="1:9" ht="12.75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</row>
    <row r="230" spans="1:9" ht="12.75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</row>
    <row r="231" spans="1:9" ht="12.75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</row>
    <row r="232" spans="1:9" ht="12.75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</row>
    <row r="233" spans="1:9" ht="12.75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</row>
    <row r="234" spans="1:9" ht="12.75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</row>
    <row r="235" spans="1:9" ht="12.75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</row>
    <row r="236" spans="1:9" ht="12.75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</row>
    <row r="237" spans="1:9" ht="12.75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</row>
    <row r="238" spans="1:9" ht="12.75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</row>
    <row r="239" spans="1:9" ht="12.75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</row>
    <row r="240" spans="1:9" x14ac:dyDescent="0.25">
      <c r="A240" s="20"/>
      <c r="B240" s="20"/>
      <c r="C240" s="20"/>
      <c r="D240" s="20"/>
      <c r="E240" s="20"/>
      <c r="F240" s="20"/>
      <c r="G240" s="20"/>
      <c r="H240" s="20"/>
      <c r="I240" s="20"/>
    </row>
    <row r="241" spans="1:9" x14ac:dyDescent="0.25">
      <c r="A241" s="20"/>
      <c r="B241" s="20"/>
      <c r="C241" s="20"/>
      <c r="D241" s="20"/>
      <c r="E241" s="20"/>
      <c r="F241" s="20"/>
      <c r="G241" s="20"/>
      <c r="H241" s="20"/>
      <c r="I241" s="20"/>
    </row>
    <row r="242" spans="1:9" x14ac:dyDescent="0.25">
      <c r="A242" s="20"/>
      <c r="B242" s="20"/>
      <c r="C242" s="20"/>
      <c r="D242" s="20"/>
      <c r="E242" s="20"/>
      <c r="F242" s="20"/>
      <c r="G242" s="20"/>
      <c r="H242" s="20"/>
      <c r="I242" s="20"/>
    </row>
    <row r="243" spans="1:9" x14ac:dyDescent="0.25">
      <c r="A243" s="20"/>
      <c r="B243" s="20"/>
      <c r="C243" s="20"/>
      <c r="D243" s="20"/>
      <c r="E243" s="20"/>
      <c r="F243" s="20"/>
      <c r="G243" s="20"/>
      <c r="H243" s="20"/>
      <c r="I243" s="20"/>
    </row>
    <row r="244" spans="1:9" x14ac:dyDescent="0.25">
      <c r="A244" s="20"/>
      <c r="B244" s="20"/>
      <c r="C244" s="20"/>
      <c r="D244" s="20"/>
      <c r="E244" s="20"/>
      <c r="F244" s="20"/>
      <c r="G244" s="20"/>
      <c r="H244" s="20"/>
      <c r="I244" s="20"/>
    </row>
    <row r="245" spans="1:9" x14ac:dyDescent="0.25">
      <c r="A245" s="20"/>
      <c r="B245" s="20"/>
      <c r="C245" s="20"/>
      <c r="D245" s="20"/>
      <c r="E245" s="20"/>
      <c r="F245" s="20"/>
      <c r="G245" s="20"/>
      <c r="H245" s="20"/>
      <c r="I245" s="20"/>
    </row>
    <row r="246" spans="1:9" x14ac:dyDescent="0.25">
      <c r="A246" s="20"/>
      <c r="B246" s="20"/>
      <c r="C246" s="20"/>
      <c r="D246" s="20"/>
      <c r="E246" s="20"/>
      <c r="F246" s="20"/>
      <c r="G246" s="20"/>
      <c r="H246" s="20"/>
      <c r="I246" s="20"/>
    </row>
    <row r="247" spans="1:9" x14ac:dyDescent="0.25">
      <c r="A247" s="20"/>
      <c r="B247" s="20"/>
      <c r="C247" s="20"/>
      <c r="D247" s="20"/>
      <c r="E247" s="20"/>
      <c r="F247" s="20"/>
      <c r="G247" s="20"/>
      <c r="H247" s="20"/>
      <c r="I247" s="20"/>
    </row>
    <row r="248" spans="1:9" x14ac:dyDescent="0.25">
      <c r="A248" s="20"/>
      <c r="B248" s="20"/>
      <c r="C248" s="20"/>
      <c r="D248" s="20"/>
      <c r="E248" s="20"/>
      <c r="F248" s="20"/>
      <c r="G248" s="20"/>
      <c r="H248" s="20"/>
      <c r="I248" s="20"/>
    </row>
    <row r="249" spans="1:9" x14ac:dyDescent="0.25">
      <c r="A249" s="20"/>
      <c r="B249" s="20"/>
      <c r="C249" s="20"/>
      <c r="D249" s="20"/>
      <c r="E249" s="20"/>
      <c r="F249" s="20"/>
      <c r="G249" s="20"/>
      <c r="H249" s="20"/>
      <c r="I249" s="20"/>
    </row>
    <row r="250" spans="1:9" x14ac:dyDescent="0.25">
      <c r="A250" s="20"/>
      <c r="B250" s="20"/>
      <c r="C250" s="20"/>
      <c r="D250" s="20"/>
      <c r="E250" s="20"/>
      <c r="F250" s="20"/>
      <c r="G250" s="20"/>
      <c r="H250" s="20"/>
      <c r="I250" s="20"/>
    </row>
    <row r="251" spans="1:9" x14ac:dyDescent="0.25">
      <c r="A251" s="20"/>
      <c r="B251" s="20"/>
      <c r="C251" s="20"/>
      <c r="D251" s="20"/>
      <c r="E251" s="20"/>
      <c r="F251" s="20"/>
      <c r="G251" s="20"/>
      <c r="H251" s="20"/>
      <c r="I251" s="20"/>
    </row>
    <row r="252" spans="1:9" x14ac:dyDescent="0.25">
      <c r="A252" s="20"/>
      <c r="B252" s="20"/>
      <c r="C252" s="20"/>
      <c r="D252" s="20"/>
      <c r="E252" s="20"/>
      <c r="F252" s="20"/>
      <c r="G252" s="20"/>
      <c r="H252" s="20"/>
      <c r="I252" s="20"/>
    </row>
    <row r="253" spans="1:9" x14ac:dyDescent="0.25">
      <c r="A253" s="20"/>
      <c r="B253" s="20"/>
      <c r="C253" s="20"/>
      <c r="D253" s="20"/>
      <c r="E253" s="20"/>
      <c r="F253" s="20"/>
      <c r="G253" s="20"/>
      <c r="H253" s="20"/>
      <c r="I253" s="20"/>
    </row>
  </sheetData>
  <mergeCells count="1">
    <mergeCell ref="I2:I21"/>
  </mergeCells>
  <phoneticPr fontId="0" type="noConversion"/>
  <printOptions horizontalCentered="1" verticalCentered="1"/>
  <pageMargins left="0.75" right="0.75" top="0.75" bottom="0.75" header="0.5" footer="0.5"/>
  <pageSetup scale="70" orientation="landscape" horizontalDpi="4294967293" verticalDpi="300" r:id="rId1"/>
  <headerFooter alignWithMargins="0">
    <oddFooter>&amp;R&amp;P of &amp;N</oddFooter>
  </headerFooter>
  <rowBreaks count="4" manualBreakCount="4">
    <brk id="43" max="8" man="1"/>
    <brk id="77" max="8" man="1"/>
    <brk id="108" max="16383" man="1"/>
    <brk id="13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topLeftCell="A55" zoomScaleNormal="100" workbookViewId="0">
      <selection activeCell="H150" sqref="H150:H160"/>
    </sheetView>
  </sheetViews>
  <sheetFormatPr defaultRowHeight="12.75" x14ac:dyDescent="0.2"/>
  <cols>
    <col min="1" max="1" width="55.7109375" customWidth="1"/>
    <col min="2" max="2" width="10.85546875" bestFit="1" customWidth="1"/>
    <col min="4" max="6" width="11.7109375" customWidth="1"/>
    <col min="7" max="9" width="15.7109375" customWidth="1"/>
  </cols>
  <sheetData>
    <row r="1" spans="1:9" ht="78.75" x14ac:dyDescent="0.2">
      <c r="A1" s="171" t="s">
        <v>21</v>
      </c>
      <c r="B1" s="172">
        <v>1990</v>
      </c>
      <c r="C1" s="172">
        <v>2000</v>
      </c>
      <c r="D1" s="138" t="s">
        <v>80</v>
      </c>
      <c r="E1" s="137">
        <v>2010</v>
      </c>
      <c r="F1" s="138" t="s">
        <v>182</v>
      </c>
      <c r="G1" s="137" t="s">
        <v>183</v>
      </c>
      <c r="H1" s="137" t="s">
        <v>213</v>
      </c>
      <c r="I1" s="173" t="s">
        <v>184</v>
      </c>
    </row>
    <row r="2" spans="1:9" ht="12.75" customHeight="1" x14ac:dyDescent="0.2">
      <c r="A2" s="37" t="s">
        <v>28</v>
      </c>
      <c r="B2" s="40">
        <v>82990</v>
      </c>
      <c r="C2" s="40">
        <v>116724</v>
      </c>
      <c r="D2" s="40">
        <f>C2-B2</f>
        <v>33734</v>
      </c>
      <c r="E2" s="217">
        <v>117079</v>
      </c>
      <c r="F2" s="70">
        <f>E2-C2</f>
        <v>355</v>
      </c>
      <c r="G2" s="37" t="s">
        <v>196</v>
      </c>
      <c r="H2" s="37"/>
      <c r="I2" s="250" t="s">
        <v>170</v>
      </c>
    </row>
    <row r="3" spans="1:9" x14ac:dyDescent="0.2">
      <c r="A3" s="37" t="s">
        <v>33</v>
      </c>
      <c r="B3" s="43">
        <f>B2/'STATE TOTALS'!$B$2</f>
        <v>0.19299955116383449</v>
      </c>
      <c r="C3" s="43">
        <f>C2/'STATE TOTALS'!$C$2</f>
        <v>0.22044026107451503</v>
      </c>
      <c r="D3" s="43">
        <f>D2/'STATE TOTALS'!$D$2</f>
        <v>0.3390249540214868</v>
      </c>
      <c r="E3" s="43">
        <f>E2/'STATE TOTALS'!$E$2</f>
        <v>0.22805302063753324</v>
      </c>
      <c r="F3" s="43">
        <f>F2/'STATE TOTALS'!$F$2</f>
        <v>-2.2023698740616663E-2</v>
      </c>
      <c r="G3" s="37" t="s">
        <v>40</v>
      </c>
      <c r="H3" s="37"/>
      <c r="I3" s="251"/>
    </row>
    <row r="4" spans="1:9" x14ac:dyDescent="0.2">
      <c r="A4" s="37" t="s">
        <v>29</v>
      </c>
      <c r="B4" s="139">
        <v>10960</v>
      </c>
      <c r="C4" s="40">
        <v>12798</v>
      </c>
      <c r="D4" s="40">
        <f>C4-B4</f>
        <v>1838</v>
      </c>
      <c r="E4" s="40">
        <f>E5-E2</f>
        <v>14813</v>
      </c>
      <c r="F4" s="40">
        <f>E4-C4</f>
        <v>2015</v>
      </c>
      <c r="G4" s="166" t="s">
        <v>188</v>
      </c>
      <c r="H4" s="166" t="s">
        <v>34</v>
      </c>
      <c r="I4" s="251"/>
    </row>
    <row r="5" spans="1:9" x14ac:dyDescent="0.2">
      <c r="A5" s="37" t="s">
        <v>30</v>
      </c>
      <c r="B5" s="139">
        <v>93950</v>
      </c>
      <c r="C5" s="40">
        <v>129522</v>
      </c>
      <c r="D5" s="40">
        <f>C5-B5</f>
        <v>35572</v>
      </c>
      <c r="E5" s="217">
        <v>131892</v>
      </c>
      <c r="F5" s="70">
        <f>E5-C5</f>
        <v>2370</v>
      </c>
      <c r="G5" s="217">
        <v>149694</v>
      </c>
      <c r="H5" s="194">
        <f>(E5-B5)/('STATE TOTALS'!E5-'STATE TOTALS'!B5)*('STATE TOTALS'!G5-'STATE TOTALS'!E5)+E5</f>
        <v>153637.60493991734</v>
      </c>
      <c r="I5" s="251"/>
    </row>
    <row r="6" spans="1:9" x14ac:dyDescent="0.2">
      <c r="A6" s="37" t="s">
        <v>33</v>
      </c>
      <c r="B6" s="43">
        <f>B5/'STATE TOTALS'!$B$5</f>
        <v>0.18963248235883026</v>
      </c>
      <c r="C6" s="43">
        <f>C5/'STATE TOTALS'!$C$5</f>
        <v>0.21377465211815522</v>
      </c>
      <c r="D6" s="43">
        <f>D5/'STATE TOTALS'!$D$5</f>
        <v>0.32206719843547699</v>
      </c>
      <c r="E6" s="43">
        <f>E5/'STATE TOTALS'!$E$5</f>
        <v>0.21965379529489354</v>
      </c>
      <c r="F6" s="43">
        <f>F5/'STATE TOTALS'!$F$5</f>
        <v>-0.43670536207849642</v>
      </c>
      <c r="G6" s="37"/>
      <c r="H6" s="37"/>
      <c r="I6" s="251"/>
    </row>
    <row r="7" spans="1:9" x14ac:dyDescent="0.2">
      <c r="A7" s="37"/>
      <c r="B7" s="41"/>
      <c r="C7" s="41"/>
      <c r="D7" s="41"/>
      <c r="E7" s="141"/>
      <c r="F7" s="37"/>
      <c r="G7" s="37"/>
      <c r="H7" s="37"/>
      <c r="I7" s="251"/>
    </row>
    <row r="8" spans="1:9" x14ac:dyDescent="0.2">
      <c r="A8" s="37" t="s">
        <v>92</v>
      </c>
      <c r="B8" s="139">
        <v>142104</v>
      </c>
      <c r="C8" s="40">
        <v>162039</v>
      </c>
      <c r="D8" s="40">
        <f>C8-B8</f>
        <v>19935</v>
      </c>
      <c r="E8" s="217">
        <v>174390</v>
      </c>
      <c r="F8" s="70">
        <f>E8-C8</f>
        <v>12351</v>
      </c>
      <c r="G8" s="40">
        <f>G5*G9</f>
        <v>187275.25876685043</v>
      </c>
      <c r="H8" s="40">
        <f>H5*H9</f>
        <v>192208.92100847166</v>
      </c>
      <c r="I8" s="251"/>
    </row>
    <row r="9" spans="1:9" x14ac:dyDescent="0.2">
      <c r="A9" s="37" t="s">
        <v>173</v>
      </c>
      <c r="B9" s="191">
        <f>B8/B5</f>
        <v>1.5125492283129325</v>
      </c>
      <c r="C9" s="191">
        <f>C8/C5</f>
        <v>1.2510538750173716</v>
      </c>
      <c r="D9" s="191"/>
      <c r="E9" s="198">
        <f>E8/E5</f>
        <v>1.3222181785096898</v>
      </c>
      <c r="F9" s="199" t="s">
        <v>45</v>
      </c>
      <c r="G9" s="200">
        <f>+C9</f>
        <v>1.2510538750173716</v>
      </c>
      <c r="H9" s="201">
        <f>G9</f>
        <v>1.2510538750173716</v>
      </c>
      <c r="I9" s="251"/>
    </row>
    <row r="10" spans="1:9" x14ac:dyDescent="0.2">
      <c r="A10" s="37"/>
      <c r="B10" s="41"/>
      <c r="C10" s="41"/>
      <c r="D10" s="41"/>
      <c r="E10" s="141"/>
      <c r="F10" s="37"/>
      <c r="G10" s="37" t="s">
        <v>226</v>
      </c>
      <c r="H10" s="37"/>
      <c r="I10" s="251"/>
    </row>
    <row r="11" spans="1:9" x14ac:dyDescent="0.2">
      <c r="A11" s="37" t="s">
        <v>123</v>
      </c>
      <c r="B11" s="149">
        <f>B13/B8</f>
        <v>0.92591341552665651</v>
      </c>
      <c r="C11" s="149">
        <f>C13/C8</f>
        <v>0.91769882559136995</v>
      </c>
      <c r="D11" s="41"/>
      <c r="E11" s="200">
        <f>E13/E8</f>
        <v>0.89265439532083257</v>
      </c>
      <c r="F11" s="202" t="s">
        <v>45</v>
      </c>
      <c r="G11" s="200">
        <f>E11</f>
        <v>0.89265439532083257</v>
      </c>
      <c r="H11" s="201">
        <f>G11</f>
        <v>0.89265439532083257</v>
      </c>
      <c r="I11" s="251"/>
    </row>
    <row r="12" spans="1:9" x14ac:dyDescent="0.2">
      <c r="A12" s="37"/>
      <c r="B12" s="41"/>
      <c r="C12" s="41"/>
      <c r="D12" s="41"/>
      <c r="E12" s="141"/>
      <c r="F12" s="37"/>
      <c r="G12" s="37"/>
      <c r="H12" s="37"/>
      <c r="I12" s="251"/>
    </row>
    <row r="13" spans="1:9" x14ac:dyDescent="0.2">
      <c r="A13" s="37" t="s">
        <v>124</v>
      </c>
      <c r="B13" s="139">
        <v>131576</v>
      </c>
      <c r="C13" s="139">
        <v>148703</v>
      </c>
      <c r="D13" s="40">
        <f>C13-B13</f>
        <v>17127</v>
      </c>
      <c r="E13" s="217">
        <v>155670</v>
      </c>
      <c r="F13" s="70">
        <f>E13-C13</f>
        <v>6967</v>
      </c>
      <c r="G13" s="40">
        <f>G11*G8</f>
        <v>167172.08287307533</v>
      </c>
      <c r="H13" s="40">
        <f>H11*H8</f>
        <v>171576.13815808695</v>
      </c>
      <c r="I13" s="251"/>
    </row>
    <row r="14" spans="1:9" x14ac:dyDescent="0.2">
      <c r="A14" s="37" t="s">
        <v>25</v>
      </c>
      <c r="B14" s="139">
        <v>67438</v>
      </c>
      <c r="C14" s="139">
        <v>78659</v>
      </c>
      <c r="D14" s="40">
        <f>C14-B14</f>
        <v>11221</v>
      </c>
      <c r="E14" s="40">
        <v>83976</v>
      </c>
      <c r="F14" s="70">
        <f>E14-C14</f>
        <v>5317</v>
      </c>
      <c r="G14" s="40">
        <f>G13-G15</f>
        <v>90180.785195280871</v>
      </c>
      <c r="H14" s="40">
        <f>H13-H15</f>
        <v>92556.547683969358</v>
      </c>
      <c r="I14" s="251"/>
    </row>
    <row r="15" spans="1:9" x14ac:dyDescent="0.2">
      <c r="A15" s="37" t="s">
        <v>26</v>
      </c>
      <c r="B15" s="139">
        <f>B13-B14</f>
        <v>64138</v>
      </c>
      <c r="C15" s="139">
        <f>C13-C14</f>
        <v>70044</v>
      </c>
      <c r="D15" s="40">
        <f>C15-B15</f>
        <v>5906</v>
      </c>
      <c r="E15" s="139">
        <f>E13-E14</f>
        <v>71694</v>
      </c>
      <c r="F15" s="70">
        <f>E15-C15</f>
        <v>1650</v>
      </c>
      <c r="G15" s="40">
        <f>G16*G13</f>
        <v>76991.297677794457</v>
      </c>
      <c r="H15" s="40">
        <f>H16*H13</f>
        <v>79019.590474117591</v>
      </c>
      <c r="I15" s="251"/>
    </row>
    <row r="16" spans="1:9" x14ac:dyDescent="0.2">
      <c r="A16" s="37" t="s">
        <v>27</v>
      </c>
      <c r="B16" s="43">
        <f>B15/B13</f>
        <v>0.4874597190977078</v>
      </c>
      <c r="C16" s="43">
        <f>C15/C13</f>
        <v>0.47103286416548423</v>
      </c>
      <c r="D16" s="37"/>
      <c r="E16" s="204">
        <f>E15/E13</f>
        <v>0.46055116592792444</v>
      </c>
      <c r="F16" s="202" t="s">
        <v>45</v>
      </c>
      <c r="G16" s="203">
        <f>E16</f>
        <v>0.46055116592792444</v>
      </c>
      <c r="H16" s="204">
        <f>G16</f>
        <v>0.46055116592792444</v>
      </c>
      <c r="I16" s="251"/>
    </row>
    <row r="17" spans="1:10" x14ac:dyDescent="0.2">
      <c r="A17" s="37"/>
      <c r="B17" s="41"/>
      <c r="C17" s="41"/>
      <c r="D17" s="41"/>
      <c r="E17" s="141"/>
      <c r="F17" s="37"/>
      <c r="G17" s="37"/>
      <c r="H17" s="37"/>
      <c r="I17" s="251"/>
    </row>
    <row r="18" spans="1:10" x14ac:dyDescent="0.2">
      <c r="A18" s="37" t="s">
        <v>31</v>
      </c>
      <c r="B18" s="41">
        <f>B2/B55</f>
        <v>0.93123723602414776</v>
      </c>
      <c r="C18" s="41">
        <f>C2/C55</f>
        <v>1.1166661883305111</v>
      </c>
      <c r="D18" s="41"/>
      <c r="E18" s="41">
        <f>E2/E55</f>
        <v>1.017786200481601</v>
      </c>
      <c r="F18" s="37"/>
      <c r="G18" s="41"/>
      <c r="H18" s="41"/>
      <c r="I18" s="251"/>
    </row>
    <row r="19" spans="1:10" x14ac:dyDescent="0.2">
      <c r="A19" s="37"/>
      <c r="B19" s="40"/>
      <c r="C19" s="40"/>
      <c r="D19" s="37"/>
      <c r="E19" s="37"/>
      <c r="F19" s="37"/>
      <c r="G19" s="37"/>
      <c r="H19" s="37"/>
      <c r="I19" s="251"/>
    </row>
    <row r="20" spans="1:10" x14ac:dyDescent="0.2">
      <c r="A20" s="37" t="s">
        <v>128</v>
      </c>
      <c r="B20" s="41">
        <f>B24/B8</f>
        <v>1.5709972977537578</v>
      </c>
      <c r="C20" s="41">
        <f>C24/C8</f>
        <v>1.5383457068977222</v>
      </c>
      <c r="D20" s="37"/>
      <c r="E20" s="41">
        <f>E24/E8</f>
        <v>1.4782900395664889</v>
      </c>
      <c r="F20" s="140" t="s">
        <v>46</v>
      </c>
      <c r="G20" s="205">
        <f>+E20</f>
        <v>1.4782900395664889</v>
      </c>
      <c r="H20" s="41">
        <f>H24/H8</f>
        <v>1.3479493908263611</v>
      </c>
      <c r="I20" s="251"/>
    </row>
    <row r="21" spans="1:10" x14ac:dyDescent="0.2">
      <c r="A21" s="37" t="s">
        <v>94</v>
      </c>
      <c r="B21" s="41">
        <f>B29/B8</f>
        <v>0.53170213364859542</v>
      </c>
      <c r="C21" s="41">
        <f>C29/C8</f>
        <v>0.53822227982152449</v>
      </c>
      <c r="D21" s="37"/>
      <c r="E21" s="205">
        <f>E29/E8</f>
        <v>0.52554045530133608</v>
      </c>
      <c r="F21" s="202" t="s">
        <v>45</v>
      </c>
      <c r="G21" s="205">
        <f>AVERAGE(B21:E21)</f>
        <v>0.53182162292381863</v>
      </c>
      <c r="H21" s="206">
        <f>G21</f>
        <v>0.53182162292381863</v>
      </c>
      <c r="I21" s="252"/>
    </row>
    <row r="22" spans="1:10" x14ac:dyDescent="0.2">
      <c r="A22" s="37"/>
      <c r="B22" s="37"/>
      <c r="C22" s="37"/>
      <c r="D22" s="37"/>
      <c r="E22" s="37"/>
      <c r="F22" s="37"/>
      <c r="G22" s="37"/>
      <c r="H22" s="37"/>
      <c r="I22" s="161"/>
    </row>
    <row r="23" spans="1:10" x14ac:dyDescent="0.2">
      <c r="A23" s="64" t="s">
        <v>98</v>
      </c>
      <c r="B23" s="41"/>
      <c r="C23" s="41"/>
      <c r="D23" s="37"/>
      <c r="E23" s="37"/>
      <c r="F23" s="37"/>
      <c r="G23" s="37"/>
      <c r="H23" s="37"/>
      <c r="I23" s="159"/>
    </row>
    <row r="24" spans="1:10" x14ac:dyDescent="0.2">
      <c r="A24" s="37" t="s">
        <v>99</v>
      </c>
      <c r="B24" s="40">
        <v>223245</v>
      </c>
      <c r="C24" s="40">
        <v>249272</v>
      </c>
      <c r="D24" s="40">
        <f>C24-B24</f>
        <v>26027</v>
      </c>
      <c r="E24" s="217">
        <f>256405+1394</f>
        <v>257799</v>
      </c>
      <c r="F24" s="70">
        <f>E24-C24</f>
        <v>8527</v>
      </c>
      <c r="G24" s="40">
        <f>+G20*G8</f>
        <v>276847.14969227178</v>
      </c>
      <c r="H24" s="40">
        <f>H25+H26</f>
        <v>259087.89798476154</v>
      </c>
      <c r="I24" s="217">
        <f>246216+1385</f>
        <v>247601</v>
      </c>
    </row>
    <row r="25" spans="1:10" x14ac:dyDescent="0.2">
      <c r="A25" s="37" t="s">
        <v>97</v>
      </c>
      <c r="B25" s="40">
        <v>1685</v>
      </c>
      <c r="C25" s="40">
        <v>934</v>
      </c>
      <c r="D25" s="40">
        <f>C25-B25</f>
        <v>-751</v>
      </c>
      <c r="E25" s="217">
        <v>1394</v>
      </c>
      <c r="F25" s="70">
        <f>E25-C25</f>
        <v>460</v>
      </c>
      <c r="G25" s="207">
        <f>I25</f>
        <v>1385</v>
      </c>
      <c r="H25" s="207">
        <f>I25</f>
        <v>1385</v>
      </c>
      <c r="I25" s="217">
        <v>1385</v>
      </c>
    </row>
    <row r="26" spans="1:10" x14ac:dyDescent="0.2">
      <c r="A26" s="37" t="s">
        <v>95</v>
      </c>
      <c r="B26" s="40">
        <f>B24-B25</f>
        <v>221560</v>
      </c>
      <c r="C26" s="40">
        <f>C24-C25</f>
        <v>248338</v>
      </c>
      <c r="D26" s="40">
        <f>C26-B26</f>
        <v>26778</v>
      </c>
      <c r="E26" s="40">
        <f>E24-E25</f>
        <v>256405</v>
      </c>
      <c r="F26" s="70">
        <f>E26-C26</f>
        <v>8067</v>
      </c>
      <c r="G26" s="40">
        <f>G24-G25</f>
        <v>275462.14969227178</v>
      </c>
      <c r="H26" s="154">
        <f>H29*H27</f>
        <v>257702.89798476154</v>
      </c>
      <c r="I26" s="154">
        <f>I24-I25</f>
        <v>246216</v>
      </c>
      <c r="J26" s="3"/>
    </row>
    <row r="27" spans="1:10" x14ac:dyDescent="0.2">
      <c r="A27" s="37" t="s">
        <v>111</v>
      </c>
      <c r="B27" s="142">
        <f>B26/B29</f>
        <v>2.932355704964464</v>
      </c>
      <c r="C27" s="142">
        <f>C26/C29</f>
        <v>2.8474883331613405</v>
      </c>
      <c r="D27" s="41"/>
      <c r="E27" s="142">
        <f>E26/E29</f>
        <v>2.7976846446769743</v>
      </c>
      <c r="F27" s="37"/>
      <c r="G27" s="142">
        <f>G26/G29</f>
        <v>2.7657666500703804</v>
      </c>
      <c r="H27" s="208">
        <f>I27</f>
        <v>2.7027893344457006</v>
      </c>
      <c r="I27" s="208">
        <f>I26/I29</f>
        <v>2.7027893344457006</v>
      </c>
    </row>
    <row r="28" spans="1:10" x14ac:dyDescent="0.2">
      <c r="A28" s="37"/>
      <c r="B28" s="40"/>
      <c r="C28" s="40"/>
      <c r="D28" s="37"/>
      <c r="E28" s="37"/>
      <c r="F28" s="37"/>
      <c r="G28" s="159"/>
      <c r="H28" s="159"/>
      <c r="I28" s="159"/>
    </row>
    <row r="29" spans="1:10" x14ac:dyDescent="0.2">
      <c r="A29" s="37" t="s">
        <v>100</v>
      </c>
      <c r="B29" s="40">
        <v>75557</v>
      </c>
      <c r="C29" s="40">
        <v>87213</v>
      </c>
      <c r="D29" s="40">
        <f>C29-B29</f>
        <v>11656</v>
      </c>
      <c r="E29" s="217">
        <v>91649</v>
      </c>
      <c r="F29" s="70">
        <f>E29-C29</f>
        <v>4436</v>
      </c>
      <c r="G29" s="154">
        <f>G8*G21</f>
        <v>99597.03205086448</v>
      </c>
      <c r="H29" s="223">
        <f>+AVERAGE(G29,I29)</f>
        <v>95347.01602543224</v>
      </c>
      <c r="I29" s="217">
        <v>91097</v>
      </c>
    </row>
    <row r="30" spans="1:10" x14ac:dyDescent="0.2">
      <c r="A30" s="37" t="s">
        <v>101</v>
      </c>
      <c r="B30" s="40">
        <v>53805</v>
      </c>
      <c r="C30" s="40">
        <v>65237</v>
      </c>
      <c r="D30" s="40">
        <f>C30-B30</f>
        <v>11432</v>
      </c>
      <c r="E30" s="217">
        <v>69640</v>
      </c>
      <c r="F30" s="70">
        <f>E30-C30</f>
        <v>4403</v>
      </c>
      <c r="G30" s="154">
        <f>G29*G32</f>
        <v>74837.725695409245</v>
      </c>
      <c r="H30" s="154">
        <f>H29*H32</f>
        <v>71644.241643093745</v>
      </c>
      <c r="I30" s="217">
        <v>68450.757590778245</v>
      </c>
    </row>
    <row r="31" spans="1:10" x14ac:dyDescent="0.2">
      <c r="A31" s="37" t="s">
        <v>102</v>
      </c>
      <c r="B31" s="40">
        <v>21752</v>
      </c>
      <c r="C31" s="40">
        <v>21976</v>
      </c>
      <c r="D31" s="40">
        <f>C31-B31</f>
        <v>224</v>
      </c>
      <c r="E31" s="217">
        <v>22009</v>
      </c>
      <c r="F31" s="70">
        <f>E31-C31</f>
        <v>33</v>
      </c>
      <c r="G31" s="154">
        <f>G29-G30</f>
        <v>24759.306355455235</v>
      </c>
      <c r="H31" s="154">
        <f>H29-H30</f>
        <v>23702.774382338495</v>
      </c>
      <c r="I31" s="217">
        <v>22646.56665098228</v>
      </c>
    </row>
    <row r="32" spans="1:10" x14ac:dyDescent="0.2">
      <c r="A32" s="37" t="s">
        <v>103</v>
      </c>
      <c r="B32" s="43">
        <f>B30/B29</f>
        <v>0.71211138610585389</v>
      </c>
      <c r="C32" s="43">
        <f>C30/C29</f>
        <v>0.74801921731851906</v>
      </c>
      <c r="D32" s="42"/>
      <c r="E32" s="43">
        <f>E30/E29</f>
        <v>0.7598555357941712</v>
      </c>
      <c r="F32" s="37"/>
      <c r="G32" s="203">
        <f>H32</f>
        <v>0.75140517899358095</v>
      </c>
      <c r="H32" s="203">
        <f>I32</f>
        <v>0.75140517899358095</v>
      </c>
      <c r="I32" s="203">
        <f>I30/I29</f>
        <v>0.75140517899358095</v>
      </c>
    </row>
    <row r="33" spans="1:9" x14ac:dyDescent="0.2">
      <c r="A33" s="37" t="s">
        <v>104</v>
      </c>
      <c r="B33" s="43">
        <f>B31/B29</f>
        <v>0.28788861389414616</v>
      </c>
      <c r="C33" s="43">
        <f>C31/C29</f>
        <v>0.251980782681481</v>
      </c>
      <c r="D33" s="42"/>
      <c r="E33" s="43">
        <f>E31/E29</f>
        <v>0.24014446420582877</v>
      </c>
      <c r="F33" s="37"/>
      <c r="G33" s="203">
        <f>1-G32</f>
        <v>0.24859482100641905</v>
      </c>
      <c r="H33" s="203">
        <f>1-H32</f>
        <v>0.24859482100641905</v>
      </c>
      <c r="I33" s="203">
        <f>I31/I29</f>
        <v>0.24859838030870698</v>
      </c>
    </row>
    <row r="34" spans="1:9" x14ac:dyDescent="0.2">
      <c r="A34" s="37"/>
      <c r="B34" s="40"/>
      <c r="C34" s="40"/>
      <c r="D34" s="37"/>
      <c r="E34" s="37"/>
      <c r="F34" s="37"/>
      <c r="G34" s="159"/>
      <c r="H34" s="159"/>
      <c r="I34" s="159"/>
    </row>
    <row r="35" spans="1:9" x14ac:dyDescent="0.2">
      <c r="A35" s="64" t="s">
        <v>171</v>
      </c>
      <c r="B35" s="43"/>
      <c r="C35" s="43"/>
      <c r="D35" s="37"/>
      <c r="E35" s="37"/>
      <c r="F35" s="37"/>
      <c r="G35" s="154"/>
      <c r="H35" s="154"/>
      <c r="I35" s="154"/>
    </row>
    <row r="36" spans="1:9" x14ac:dyDescent="0.2">
      <c r="A36" s="37" t="s">
        <v>105</v>
      </c>
      <c r="B36" s="40">
        <v>22600</v>
      </c>
      <c r="C36" s="40">
        <v>28087</v>
      </c>
      <c r="D36" s="40">
        <f>C36-B36</f>
        <v>5487</v>
      </c>
      <c r="E36" s="217">
        <f>36320+1104</f>
        <v>37424</v>
      </c>
      <c r="F36" s="70">
        <f>E36-C36</f>
        <v>9337</v>
      </c>
      <c r="G36" s="210">
        <f>I36</f>
        <v>59266</v>
      </c>
      <c r="H36" s="210">
        <f>I36</f>
        <v>59266</v>
      </c>
      <c r="I36" s="217">
        <f>57645+1621</f>
        <v>59266</v>
      </c>
    </row>
    <row r="37" spans="1:9" x14ac:dyDescent="0.2">
      <c r="A37" s="37" t="s">
        <v>106</v>
      </c>
      <c r="B37" s="43">
        <f>B36/B50</f>
        <v>9.1927840712644149E-2</v>
      </c>
      <c r="C37" s="43">
        <f>C36/C50</f>
        <v>0.10126586842323487</v>
      </c>
      <c r="D37" s="43"/>
      <c r="E37" s="43">
        <f>E36/E50</f>
        <v>0.1267651910589622</v>
      </c>
      <c r="F37" s="43"/>
      <c r="G37" s="195">
        <f>G36/G50</f>
        <v>0.17632752557958817</v>
      </c>
      <c r="H37" s="195">
        <f>H36/H50</f>
        <v>0.18616388985705731</v>
      </c>
      <c r="I37" s="195">
        <f>I36/I50</f>
        <v>0.19313252972786257</v>
      </c>
    </row>
    <row r="38" spans="1:9" x14ac:dyDescent="0.2">
      <c r="A38" s="37" t="s">
        <v>107</v>
      </c>
      <c r="B38" s="70">
        <v>1361</v>
      </c>
      <c r="C38" s="70">
        <v>1475</v>
      </c>
      <c r="D38" s="40">
        <f>C38-B38</f>
        <v>114</v>
      </c>
      <c r="E38" s="217">
        <v>1104</v>
      </c>
      <c r="F38" s="70">
        <f>E38-C38</f>
        <v>-371</v>
      </c>
      <c r="G38" s="154">
        <f>I38</f>
        <v>1621</v>
      </c>
      <c r="H38" s="154">
        <f>I38</f>
        <v>1621</v>
      </c>
      <c r="I38" s="217">
        <v>1621</v>
      </c>
    </row>
    <row r="39" spans="1:9" x14ac:dyDescent="0.2">
      <c r="A39" s="37" t="s">
        <v>108</v>
      </c>
      <c r="B39" s="40">
        <f>B36-B38</f>
        <v>21239</v>
      </c>
      <c r="C39" s="40">
        <f>C36-C38</f>
        <v>26612</v>
      </c>
      <c r="D39" s="40">
        <f>C39-B39</f>
        <v>5373</v>
      </c>
      <c r="E39" s="40">
        <f>E36-E38</f>
        <v>36320</v>
      </c>
      <c r="F39" s="70">
        <f>E39-C39</f>
        <v>9708</v>
      </c>
      <c r="G39" s="154">
        <f>G36-G38</f>
        <v>57645</v>
      </c>
      <c r="H39" s="154">
        <f>H36-H38</f>
        <v>57645</v>
      </c>
      <c r="I39" s="154">
        <f>I36-I38</f>
        <v>57645</v>
      </c>
    </row>
    <row r="40" spans="1:9" x14ac:dyDescent="0.2">
      <c r="A40" s="37"/>
      <c r="B40" s="40"/>
      <c r="C40" s="40"/>
      <c r="D40" s="40"/>
      <c r="E40" s="40"/>
      <c r="F40" s="70"/>
      <c r="G40" s="154"/>
      <c r="H40" s="154"/>
      <c r="I40" s="154"/>
    </row>
    <row r="41" spans="1:9" x14ac:dyDescent="0.2">
      <c r="A41" s="37" t="s">
        <v>109</v>
      </c>
      <c r="B41" s="40">
        <v>13561</v>
      </c>
      <c r="C41" s="40">
        <v>17316</v>
      </c>
      <c r="D41" s="40">
        <f>C41-B41</f>
        <v>3755</v>
      </c>
      <c r="E41" s="217">
        <v>23384</v>
      </c>
      <c r="F41" s="70">
        <f>E41-C41</f>
        <v>6068</v>
      </c>
      <c r="G41" s="207">
        <f>G39/G43</f>
        <v>36992</v>
      </c>
      <c r="H41" s="207">
        <f>H39/H43</f>
        <v>36992</v>
      </c>
      <c r="I41" s="217">
        <v>36992</v>
      </c>
    </row>
    <row r="42" spans="1:9" x14ac:dyDescent="0.2">
      <c r="A42" s="37" t="s">
        <v>110</v>
      </c>
      <c r="B42" s="43">
        <f>B41/B55</f>
        <v>0.15216903431405551</v>
      </c>
      <c r="C42" s="43">
        <f>C41/C55</f>
        <v>0.16565737737852654</v>
      </c>
      <c r="D42" s="42"/>
      <c r="E42" s="43">
        <f>E41/E55</f>
        <v>0.20328079768414281</v>
      </c>
      <c r="F42" s="37"/>
      <c r="G42" s="43">
        <f>G41/G55</f>
        <v>0.27082701622941824</v>
      </c>
      <c r="H42" s="43">
        <f>H41/H55</f>
        <v>0.27952452051548476</v>
      </c>
      <c r="I42" s="195">
        <f>I41/I55</f>
        <v>0.28879919431020618</v>
      </c>
    </row>
    <row r="43" spans="1:9" x14ac:dyDescent="0.2">
      <c r="A43" s="37" t="s">
        <v>112</v>
      </c>
      <c r="B43" s="142">
        <f>B39/B41</f>
        <v>1.5661824349236781</v>
      </c>
      <c r="C43" s="142">
        <f>C39/C41</f>
        <v>1.5368445368445369</v>
      </c>
      <c r="D43" s="37"/>
      <c r="E43" s="142">
        <f>E39/E41</f>
        <v>1.5531987683886419</v>
      </c>
      <c r="F43" s="37"/>
      <c r="G43" s="209">
        <f>H43</f>
        <v>1.5583099048442905</v>
      </c>
      <c r="H43" s="209">
        <f>I43</f>
        <v>1.5583099048442905</v>
      </c>
      <c r="I43" s="209">
        <f>I39/I41</f>
        <v>1.5583099048442905</v>
      </c>
    </row>
    <row r="44" spans="1:9" x14ac:dyDescent="0.2">
      <c r="A44" s="37"/>
      <c r="B44" s="142"/>
      <c r="C44" s="142"/>
      <c r="D44" s="42"/>
      <c r="E44" s="42"/>
      <c r="F44" s="37"/>
      <c r="G44" s="37"/>
      <c r="H44" s="37"/>
      <c r="I44" s="37"/>
    </row>
    <row r="45" spans="1:9" x14ac:dyDescent="0.2">
      <c r="A45" s="37" t="s">
        <v>113</v>
      </c>
      <c r="B45" s="40">
        <v>10519</v>
      </c>
      <c r="C45" s="40">
        <v>13755</v>
      </c>
      <c r="D45" s="40">
        <f>C45-B45</f>
        <v>3236</v>
      </c>
      <c r="E45" s="217">
        <v>18725</v>
      </c>
      <c r="F45" s="70">
        <f>E45-C45</f>
        <v>4970</v>
      </c>
      <c r="G45" s="207">
        <f>G47*G41</f>
        <v>29755.48673773028</v>
      </c>
      <c r="H45" s="207">
        <f>H47*H41</f>
        <v>29755.48673773028</v>
      </c>
      <c r="I45" s="217">
        <v>29755.48673773028</v>
      </c>
    </row>
    <row r="46" spans="1:9" x14ac:dyDescent="0.2">
      <c r="A46" s="37" t="s">
        <v>114</v>
      </c>
      <c r="B46" s="40">
        <v>3042</v>
      </c>
      <c r="C46" s="40">
        <v>3561</v>
      </c>
      <c r="D46" s="40">
        <f>C46-B46</f>
        <v>519</v>
      </c>
      <c r="E46" s="217">
        <v>4659</v>
      </c>
      <c r="F46" s="70">
        <f>E46-C46</f>
        <v>1098</v>
      </c>
      <c r="G46" s="40">
        <f>G41-G45</f>
        <v>7236.5132622697201</v>
      </c>
      <c r="H46" s="40">
        <f>H41-H45</f>
        <v>7236.5132622697201</v>
      </c>
      <c r="I46" s="217">
        <v>7236.5459172703131</v>
      </c>
    </row>
    <row r="47" spans="1:9" x14ac:dyDescent="0.2">
      <c r="A47" s="37" t="s">
        <v>115</v>
      </c>
      <c r="B47" s="43">
        <f>B45/B41</f>
        <v>0.77568025956787845</v>
      </c>
      <c r="C47" s="43">
        <f>C45/C41</f>
        <v>0.79435204435204432</v>
      </c>
      <c r="D47" s="37"/>
      <c r="E47" s="43">
        <f>E45/E41</f>
        <v>0.80076120424221686</v>
      </c>
      <c r="F47" s="37"/>
      <c r="G47" s="211">
        <f>H47</f>
        <v>0.80437626345507895</v>
      </c>
      <c r="H47" s="211">
        <f>I47</f>
        <v>0.80437626345507895</v>
      </c>
      <c r="I47" s="211">
        <f>I45/I41</f>
        <v>0.80437626345507895</v>
      </c>
    </row>
    <row r="48" spans="1:9" x14ac:dyDescent="0.2">
      <c r="A48" s="37" t="s">
        <v>116</v>
      </c>
      <c r="B48" s="43">
        <f>1-B47</f>
        <v>0.22431974043212155</v>
      </c>
      <c r="C48" s="43">
        <f>1-C47</f>
        <v>0.20564795564795568</v>
      </c>
      <c r="D48" s="37"/>
      <c r="E48" s="43">
        <f>1-E47</f>
        <v>0.19923879575778314</v>
      </c>
      <c r="F48" s="37"/>
      <c r="G48" s="211">
        <f>1-G47</f>
        <v>0.19562373654492105</v>
      </c>
      <c r="H48" s="211">
        <f>1-H47</f>
        <v>0.19562373654492105</v>
      </c>
      <c r="I48" s="211">
        <f>1-I47</f>
        <v>0.19562373654492105</v>
      </c>
    </row>
    <row r="49" spans="1:9" x14ac:dyDescent="0.2">
      <c r="A49" s="37"/>
      <c r="B49" s="43"/>
      <c r="C49" s="43"/>
      <c r="D49" s="37"/>
      <c r="E49" s="37"/>
      <c r="F49" s="37"/>
      <c r="G49" s="37"/>
      <c r="H49" s="37"/>
      <c r="I49" s="37"/>
    </row>
    <row r="50" spans="1:9" x14ac:dyDescent="0.2">
      <c r="A50" s="64" t="s">
        <v>129</v>
      </c>
      <c r="B50" s="40">
        <f>B24+B36</f>
        <v>245845</v>
      </c>
      <c r="C50" s="40">
        <f>C24+C36</f>
        <v>277359</v>
      </c>
      <c r="D50" s="40">
        <f>C50-B50</f>
        <v>31514</v>
      </c>
      <c r="E50" s="40">
        <f>E24+E36</f>
        <v>295223</v>
      </c>
      <c r="F50" s="70">
        <f>E50-C50</f>
        <v>17864</v>
      </c>
      <c r="G50" s="40">
        <f>G24+I36</f>
        <v>336113.14969227178</v>
      </c>
      <c r="H50" s="40">
        <f>H24+I36</f>
        <v>318353.89798476151</v>
      </c>
      <c r="I50" s="40">
        <f>I24+I36</f>
        <v>306867</v>
      </c>
    </row>
    <row r="51" spans="1:9" x14ac:dyDescent="0.2">
      <c r="A51" s="37" t="s">
        <v>96</v>
      </c>
      <c r="B51" s="40">
        <f>B25+B38</f>
        <v>3046</v>
      </c>
      <c r="C51" s="40">
        <f>C25+C38</f>
        <v>2409</v>
      </c>
      <c r="D51" s="40">
        <f>C51-B51</f>
        <v>-637</v>
      </c>
      <c r="E51" s="40">
        <f>E25+E38</f>
        <v>2498</v>
      </c>
      <c r="F51" s="70">
        <f>E51-C51</f>
        <v>89</v>
      </c>
      <c r="G51" s="212">
        <f>G25+G38</f>
        <v>3006</v>
      </c>
      <c r="H51" s="212">
        <f>H25+H38</f>
        <v>3006</v>
      </c>
      <c r="I51" s="212">
        <f>I25+I38</f>
        <v>3006</v>
      </c>
    </row>
    <row r="52" spans="1:9" x14ac:dyDescent="0.2">
      <c r="A52" s="37" t="s">
        <v>95</v>
      </c>
      <c r="B52" s="40">
        <f>B50-B51</f>
        <v>242799</v>
      </c>
      <c r="C52" s="40">
        <f>C50-C51</f>
        <v>274950</v>
      </c>
      <c r="D52" s="40">
        <f>C52-B52</f>
        <v>32151</v>
      </c>
      <c r="E52" s="40">
        <f>E50-E51</f>
        <v>292725</v>
      </c>
      <c r="F52" s="70">
        <f>E52-C52</f>
        <v>17775</v>
      </c>
      <c r="G52" s="40">
        <f>G50-G51</f>
        <v>333107.14969227178</v>
      </c>
      <c r="H52" s="40">
        <f>H50-H51</f>
        <v>315347.89798476151</v>
      </c>
      <c r="I52" s="40">
        <f>I50-I51</f>
        <v>303861</v>
      </c>
    </row>
    <row r="53" spans="1:9" x14ac:dyDescent="0.2">
      <c r="A53" s="37" t="s">
        <v>126</v>
      </c>
      <c r="B53" s="142">
        <f>B52/B55</f>
        <v>2.7244664377566821</v>
      </c>
      <c r="C53" s="142">
        <f>C52/C55</f>
        <v>2.6303705191860631</v>
      </c>
      <c r="D53" s="37"/>
      <c r="E53" s="142">
        <f>E52/E55</f>
        <v>2.5447045630384326</v>
      </c>
      <c r="F53" s="37"/>
      <c r="G53" s="142">
        <f>G52/G55</f>
        <v>2.438754742534714</v>
      </c>
      <c r="H53" s="142">
        <f>H52/H55</f>
        <v>2.3828792706465305</v>
      </c>
      <c r="I53" s="142">
        <f>I52/I55</f>
        <v>2.372264597272209</v>
      </c>
    </row>
    <row r="54" spans="1:9" x14ac:dyDescent="0.2">
      <c r="A54" s="37"/>
      <c r="B54" s="43"/>
      <c r="C54" s="43"/>
      <c r="D54" s="37"/>
      <c r="E54" s="37"/>
      <c r="F54" s="37"/>
      <c r="G54" s="37"/>
      <c r="H54" s="37"/>
      <c r="I54" s="37"/>
    </row>
    <row r="55" spans="1:9" x14ac:dyDescent="0.2">
      <c r="A55" s="64" t="s">
        <v>58</v>
      </c>
      <c r="B55" s="40">
        <f>B29+B41</f>
        <v>89118</v>
      </c>
      <c r="C55" s="40">
        <f>C29+C41</f>
        <v>104529</v>
      </c>
      <c r="D55" s="40">
        <f>C55-B55</f>
        <v>15411</v>
      </c>
      <c r="E55" s="40">
        <f>E29+E41</f>
        <v>115033</v>
      </c>
      <c r="F55" s="70">
        <f>E55-C55</f>
        <v>10504</v>
      </c>
      <c r="G55" s="40">
        <f>G29+G41</f>
        <v>136589.03205086448</v>
      </c>
      <c r="H55" s="40">
        <f>H29+H41</f>
        <v>132339.01602543224</v>
      </c>
      <c r="I55" s="40">
        <f>I29+I41</f>
        <v>128089</v>
      </c>
    </row>
    <row r="56" spans="1:9" x14ac:dyDescent="0.2">
      <c r="A56" s="37" t="s">
        <v>101</v>
      </c>
      <c r="B56" s="40">
        <f>B30+B45</f>
        <v>64324</v>
      </c>
      <c r="C56" s="40">
        <f>C30+C45</f>
        <v>78992</v>
      </c>
      <c r="D56" s="40">
        <f>C56-B56</f>
        <v>14668</v>
      </c>
      <c r="E56" s="40">
        <f>E30+E45</f>
        <v>88365</v>
      </c>
      <c r="F56" s="70">
        <f>E56-C56</f>
        <v>9373</v>
      </c>
      <c r="G56" s="40">
        <f>G30+G45</f>
        <v>104593.21243313953</v>
      </c>
      <c r="H56" s="40">
        <f>H30+H45</f>
        <v>101399.72838082403</v>
      </c>
      <c r="I56" s="40">
        <f>I30+I45</f>
        <v>98206.244328508532</v>
      </c>
    </row>
    <row r="57" spans="1:9" x14ac:dyDescent="0.2">
      <c r="A57" s="37" t="s">
        <v>102</v>
      </c>
      <c r="B57" s="40">
        <f>B31+B46</f>
        <v>24794</v>
      </c>
      <c r="C57" s="40">
        <f>C31+C46</f>
        <v>25537</v>
      </c>
      <c r="D57" s="40">
        <f>C57-B57</f>
        <v>743</v>
      </c>
      <c r="E57" s="40">
        <f>E31+E46</f>
        <v>26668</v>
      </c>
      <c r="F57" s="70">
        <f>E57-C57</f>
        <v>1131</v>
      </c>
      <c r="G57" s="40">
        <f>G31+G46</f>
        <v>31995.819617724956</v>
      </c>
      <c r="H57" s="40">
        <f>H31+H46</f>
        <v>30939.287644608215</v>
      </c>
      <c r="I57" s="40">
        <f>I55-I56</f>
        <v>29882.755671491468</v>
      </c>
    </row>
    <row r="58" spans="1:9" x14ac:dyDescent="0.2">
      <c r="A58" s="37" t="s">
        <v>103</v>
      </c>
      <c r="B58" s="43">
        <f>B56/B55</f>
        <v>0.7217846001930025</v>
      </c>
      <c r="C58" s="43">
        <f>C56/C55</f>
        <v>0.75569459193142574</v>
      </c>
      <c r="D58" s="37"/>
      <c r="E58" s="43">
        <f>E56/E55</f>
        <v>0.76817087270609308</v>
      </c>
      <c r="F58" s="37"/>
      <c r="G58" s="43">
        <f>G56/G55</f>
        <v>0.76575117974472506</v>
      </c>
      <c r="H58" s="43">
        <f>H56/H55</f>
        <v>0.76621189597886652</v>
      </c>
      <c r="I58" s="43">
        <f>I56/I55</f>
        <v>0.76670318550779948</v>
      </c>
    </row>
    <row r="59" spans="1:9" x14ac:dyDescent="0.2">
      <c r="A59" s="37" t="s">
        <v>104</v>
      </c>
      <c r="B59" s="43">
        <f>B57/B55</f>
        <v>0.27821539980699744</v>
      </c>
      <c r="C59" s="43">
        <f>C57/C55</f>
        <v>0.24430540806857426</v>
      </c>
      <c r="D59" s="37"/>
      <c r="E59" s="43">
        <f>E57/E55</f>
        <v>0.23182912729390698</v>
      </c>
      <c r="F59" s="37"/>
      <c r="G59" s="43">
        <f>1-G58</f>
        <v>0.23424882025527494</v>
      </c>
      <c r="H59" s="43">
        <f>1-H58</f>
        <v>0.23378810402113348</v>
      </c>
      <c r="I59" s="43">
        <f>1-I58</f>
        <v>0.23329681449220052</v>
      </c>
    </row>
    <row r="60" spans="1:9" ht="15.75" x14ac:dyDescent="0.2">
      <c r="A60" s="213"/>
      <c r="B60" s="213"/>
      <c r="C60" s="213"/>
      <c r="D60" s="214"/>
      <c r="E60" s="215"/>
      <c r="F60" s="214"/>
      <c r="G60" s="215"/>
      <c r="H60" s="215"/>
      <c r="I60" s="216"/>
    </row>
    <row r="61" spans="1:9" s="31" customFormat="1" x14ac:dyDescent="0.2">
      <c r="A61" s="64" t="s">
        <v>93</v>
      </c>
      <c r="B61" s="40"/>
      <c r="C61" s="40"/>
      <c r="D61" s="40"/>
      <c r="E61" s="40"/>
      <c r="F61" s="37"/>
      <c r="G61" s="40"/>
      <c r="H61" s="40"/>
      <c r="I61" s="40"/>
    </row>
    <row r="62" spans="1:9" s="31" customFormat="1" x14ac:dyDescent="0.2">
      <c r="A62" s="37" t="s">
        <v>1</v>
      </c>
      <c r="B62" s="40">
        <v>1634</v>
      </c>
      <c r="C62" s="40">
        <v>516</v>
      </c>
      <c r="D62" s="40">
        <f t="shared" ref="D62:D68" si="0">C62-B62</f>
        <v>-1118</v>
      </c>
      <c r="E62" s="40">
        <v>1480</v>
      </c>
      <c r="F62" s="40">
        <f>+E62-C62</f>
        <v>964</v>
      </c>
      <c r="G62" s="40">
        <f t="shared" ref="G62:I63" si="1">G56/(1-G70)-G56</f>
        <v>1056.4970952842414</v>
      </c>
      <c r="H62" s="40">
        <f t="shared" si="1"/>
        <v>1024.2396806143806</v>
      </c>
      <c r="I62" s="40">
        <f t="shared" si="1"/>
        <v>991.98226594453445</v>
      </c>
    </row>
    <row r="63" spans="1:9" s="31" customFormat="1" x14ac:dyDescent="0.2">
      <c r="A63" s="37" t="s">
        <v>2</v>
      </c>
      <c r="B63" s="40">
        <v>3420</v>
      </c>
      <c r="C63" s="40">
        <v>871</v>
      </c>
      <c r="D63" s="40">
        <f t="shared" si="0"/>
        <v>-2549</v>
      </c>
      <c r="E63" s="40">
        <v>2207</v>
      </c>
      <c r="F63" s="40">
        <f t="shared" ref="F63:F68" si="2">+E63-C63</f>
        <v>1336</v>
      </c>
      <c r="G63" s="40">
        <f t="shared" si="1"/>
        <v>1333.1591507385383</v>
      </c>
      <c r="H63" s="40">
        <f t="shared" si="1"/>
        <v>1289.1369851920099</v>
      </c>
      <c r="I63" s="40">
        <f t="shared" si="1"/>
        <v>1245.1148196454778</v>
      </c>
    </row>
    <row r="64" spans="1:9" s="31" customFormat="1" x14ac:dyDescent="0.2">
      <c r="A64" s="37" t="s">
        <v>8</v>
      </c>
      <c r="B64" s="40">
        <v>673</v>
      </c>
      <c r="C64" s="40">
        <v>321</v>
      </c>
      <c r="D64" s="40">
        <f t="shared" si="0"/>
        <v>-352</v>
      </c>
      <c r="E64" s="139">
        <v>452</v>
      </c>
      <c r="F64" s="40">
        <f t="shared" si="2"/>
        <v>131</v>
      </c>
      <c r="G64" s="140" t="s">
        <v>32</v>
      </c>
      <c r="H64" s="40"/>
      <c r="I64" s="40"/>
    </row>
    <row r="65" spans="1:10" s="31" customFormat="1" x14ac:dyDescent="0.2">
      <c r="A65" s="37" t="s">
        <v>10</v>
      </c>
      <c r="B65" s="40">
        <v>5830</v>
      </c>
      <c r="C65" s="40">
        <v>6031</v>
      </c>
      <c r="D65" s="40">
        <f t="shared" si="0"/>
        <v>201</v>
      </c>
      <c r="E65" s="139">
        <v>6112</v>
      </c>
      <c r="F65" s="40">
        <f t="shared" si="2"/>
        <v>81</v>
      </c>
      <c r="G65" s="140" t="s">
        <v>32</v>
      </c>
      <c r="H65" s="40"/>
      <c r="I65" s="40"/>
    </row>
    <row r="66" spans="1:10" s="31" customFormat="1" x14ac:dyDescent="0.2">
      <c r="A66" s="37" t="s">
        <v>7</v>
      </c>
      <c r="B66" s="40">
        <v>1098</v>
      </c>
      <c r="C66" s="40">
        <v>755</v>
      </c>
      <c r="D66" s="40">
        <f t="shared" si="0"/>
        <v>-343</v>
      </c>
      <c r="E66" s="139">
        <v>1422</v>
      </c>
      <c r="F66" s="40">
        <f t="shared" si="2"/>
        <v>667</v>
      </c>
      <c r="G66" s="140" t="s">
        <v>32</v>
      </c>
      <c r="H66" s="40"/>
      <c r="I66" s="40"/>
    </row>
    <row r="67" spans="1:10" s="31" customFormat="1" x14ac:dyDescent="0.2">
      <c r="A67" s="37" t="s">
        <v>11</v>
      </c>
      <c r="B67" s="40">
        <f>SUM(B62:B66)</f>
        <v>12655</v>
      </c>
      <c r="C67" s="40">
        <f>SUM(C62:C66)</f>
        <v>8494</v>
      </c>
      <c r="D67" s="40">
        <f t="shared" si="0"/>
        <v>-4161</v>
      </c>
      <c r="E67" s="139">
        <v>11676</v>
      </c>
      <c r="F67" s="40">
        <f t="shared" si="2"/>
        <v>3182</v>
      </c>
      <c r="G67" s="140" t="s">
        <v>32</v>
      </c>
      <c r="H67" s="40"/>
      <c r="I67" s="40"/>
    </row>
    <row r="68" spans="1:10" s="31" customFormat="1" x14ac:dyDescent="0.2">
      <c r="A68" s="37" t="s">
        <v>9</v>
      </c>
      <c r="B68" s="40">
        <v>101773</v>
      </c>
      <c r="C68" s="40">
        <v>113023</v>
      </c>
      <c r="D68" s="40">
        <f t="shared" si="0"/>
        <v>11250</v>
      </c>
      <c r="E68" s="139">
        <v>126709</v>
      </c>
      <c r="F68" s="40">
        <f t="shared" si="2"/>
        <v>13686</v>
      </c>
      <c r="G68" s="140" t="s">
        <v>32</v>
      </c>
      <c r="H68" s="40"/>
      <c r="I68" s="40"/>
    </row>
    <row r="69" spans="1:10" s="31" customFormat="1" ht="14.25" x14ac:dyDescent="0.2">
      <c r="A69" s="37"/>
      <c r="B69" s="174"/>
      <c r="C69" s="174"/>
      <c r="D69" s="37"/>
      <c r="E69" s="42"/>
      <c r="F69" s="37"/>
      <c r="G69" s="43"/>
      <c r="H69" s="43"/>
      <c r="I69" s="43"/>
    </row>
    <row r="70" spans="1:10" s="31" customFormat="1" x14ac:dyDescent="0.2">
      <c r="A70" s="37" t="s">
        <v>4</v>
      </c>
      <c r="B70" s="43">
        <f>B62/B81</f>
        <v>2.4773340610691651E-2</v>
      </c>
      <c r="C70" s="43">
        <f>C62/C81</f>
        <v>6.489912964733109E-3</v>
      </c>
      <c r="D70" s="42"/>
      <c r="E70" s="43">
        <f>E62/E81</f>
        <v>1.6472814291279426E-2</v>
      </c>
      <c r="F70" s="37"/>
      <c r="G70" s="218">
        <v>0.01</v>
      </c>
      <c r="H70" s="43">
        <f>G70</f>
        <v>0.01</v>
      </c>
      <c r="I70" s="43">
        <f>H70</f>
        <v>0.01</v>
      </c>
    </row>
    <row r="71" spans="1:10" s="31" customFormat="1" x14ac:dyDescent="0.2">
      <c r="A71" s="37" t="s">
        <v>3</v>
      </c>
      <c r="B71" s="43">
        <f>B63/B82</f>
        <v>0.12121641738144184</v>
      </c>
      <c r="C71" s="43">
        <f>C63/C82</f>
        <v>3.2982429566797943E-2</v>
      </c>
      <c r="D71" s="42"/>
      <c r="E71" s="43">
        <f>E63/E82</f>
        <v>7.6432900432900436E-2</v>
      </c>
      <c r="F71" s="37"/>
      <c r="G71" s="218">
        <v>0.04</v>
      </c>
      <c r="H71" s="43">
        <f>G71</f>
        <v>0.04</v>
      </c>
      <c r="I71" s="43">
        <f>H71</f>
        <v>0.04</v>
      </c>
      <c r="J71" s="34" t="s">
        <v>130</v>
      </c>
    </row>
    <row r="72" spans="1:10" s="31" customFormat="1" x14ac:dyDescent="0.2">
      <c r="A72" s="37" t="s">
        <v>5</v>
      </c>
      <c r="B72" s="43">
        <f>(B62+B63)/B83</f>
        <v>5.366775687040734E-2</v>
      </c>
      <c r="C72" s="43">
        <f>(C62+C63)/C83</f>
        <v>1.3095283054496016E-2</v>
      </c>
      <c r="D72" s="42"/>
      <c r="E72" s="43">
        <f>(E62+E63)/E83</f>
        <v>3.1056266846361185E-2</v>
      </c>
      <c r="F72" s="37"/>
      <c r="G72" s="43">
        <f>(G62+G63)/G83</f>
        <v>1.7121675133200519E-2</v>
      </c>
      <c r="H72" s="43">
        <f>(H62+H63)/H83</f>
        <v>1.710536259921161E-2</v>
      </c>
      <c r="I72" s="43">
        <f>(I62+I63)/I83</f>
        <v>1.7087971929824024E-2</v>
      </c>
    </row>
    <row r="73" spans="1:10" x14ac:dyDescent="0.2">
      <c r="A73" s="37"/>
      <c r="B73" s="43"/>
      <c r="C73" s="43"/>
      <c r="D73" s="42"/>
      <c r="E73" s="42"/>
      <c r="F73" s="37"/>
      <c r="G73" s="37"/>
      <c r="H73" s="37"/>
      <c r="I73" s="37"/>
    </row>
    <row r="74" spans="1:10" x14ac:dyDescent="0.2">
      <c r="A74" s="37"/>
      <c r="B74" s="43"/>
      <c r="C74" s="43"/>
      <c r="D74" s="42"/>
      <c r="E74" s="42"/>
      <c r="F74" s="37"/>
      <c r="G74" s="37"/>
      <c r="H74" s="37"/>
      <c r="I74" s="37"/>
    </row>
    <row r="75" spans="1:10" x14ac:dyDescent="0.2">
      <c r="A75" s="37" t="s">
        <v>38</v>
      </c>
      <c r="B75" s="43"/>
      <c r="C75" s="43"/>
      <c r="D75" s="42"/>
      <c r="E75" s="42"/>
      <c r="F75" s="37"/>
      <c r="G75" s="154">
        <f>0.0005*8*E81</f>
        <v>359.38</v>
      </c>
      <c r="H75" s="154">
        <f>G75</f>
        <v>359.38</v>
      </c>
      <c r="I75" s="154">
        <f>H75</f>
        <v>359.38</v>
      </c>
    </row>
    <row r="76" spans="1:10" x14ac:dyDescent="0.2">
      <c r="A76" s="37" t="s">
        <v>39</v>
      </c>
      <c r="B76" s="43"/>
      <c r="C76" s="43"/>
      <c r="D76" s="42"/>
      <c r="E76" s="42"/>
      <c r="F76" s="37"/>
      <c r="G76" s="154">
        <f>0.001*8*E82</f>
        <v>231</v>
      </c>
      <c r="H76" s="154">
        <f>G76</f>
        <v>231</v>
      </c>
      <c r="I76" s="154">
        <f>H76</f>
        <v>231</v>
      </c>
    </row>
    <row r="77" spans="1:10" x14ac:dyDescent="0.2">
      <c r="A77" s="37" t="s">
        <v>47</v>
      </c>
      <c r="B77" s="43"/>
      <c r="C77" s="43"/>
      <c r="D77" s="42"/>
      <c r="E77" s="42"/>
      <c r="F77" s="37"/>
      <c r="G77" s="154">
        <f>G75+G76</f>
        <v>590.38</v>
      </c>
      <c r="H77" s="154">
        <f>H75+H76</f>
        <v>590.38</v>
      </c>
      <c r="I77" s="154">
        <f>I75+I76</f>
        <v>590.38</v>
      </c>
    </row>
    <row r="78" spans="1:10" ht="15" x14ac:dyDescent="0.25">
      <c r="A78" s="31"/>
      <c r="B78" s="38"/>
      <c r="C78" s="38"/>
      <c r="D78" s="44"/>
      <c r="E78" s="44"/>
      <c r="F78" s="31"/>
      <c r="G78" s="45"/>
      <c r="H78" s="45"/>
      <c r="I78" s="45"/>
      <c r="J78" s="8"/>
    </row>
    <row r="79" spans="1:10" ht="15" x14ac:dyDescent="0.25">
      <c r="A79" s="31"/>
      <c r="B79" s="38"/>
      <c r="C79" s="38"/>
      <c r="D79" s="44"/>
      <c r="E79" s="44"/>
      <c r="F79" s="33"/>
      <c r="G79" s="46">
        <v>2020</v>
      </c>
      <c r="H79" s="22">
        <v>2020</v>
      </c>
      <c r="I79" s="47">
        <v>2020</v>
      </c>
      <c r="J79" s="8"/>
    </row>
    <row r="80" spans="1:10" ht="26.25" x14ac:dyDescent="0.25">
      <c r="A80" s="48" t="s">
        <v>64</v>
      </c>
      <c r="B80" s="48">
        <v>1990</v>
      </c>
      <c r="C80" s="48">
        <v>2000</v>
      </c>
      <c r="D80" s="29" t="s">
        <v>117</v>
      </c>
      <c r="E80" s="48">
        <v>2010</v>
      </c>
      <c r="F80" s="49" t="s">
        <v>44</v>
      </c>
      <c r="G80" s="50" t="s">
        <v>35</v>
      </c>
      <c r="H80" s="51" t="s">
        <v>36</v>
      </c>
      <c r="I80" s="50" t="s">
        <v>37</v>
      </c>
      <c r="J80" s="8"/>
    </row>
    <row r="81" spans="1:13" ht="15" x14ac:dyDescent="0.25">
      <c r="A81" s="31" t="s">
        <v>13</v>
      </c>
      <c r="B81" s="32">
        <f>B56+B62</f>
        <v>65958</v>
      </c>
      <c r="C81" s="32">
        <f>C56+C62</f>
        <v>79508</v>
      </c>
      <c r="D81" s="32">
        <f>C81-B81</f>
        <v>13550</v>
      </c>
      <c r="E81" s="32">
        <f>E56+E62</f>
        <v>89845</v>
      </c>
      <c r="F81" s="52" t="s">
        <v>41</v>
      </c>
      <c r="G81" s="53">
        <f t="shared" ref="G81:I82" si="3">G56+G62+G75</f>
        <v>106009.08952842378</v>
      </c>
      <c r="H81" s="53">
        <f t="shared" si="3"/>
        <v>102783.34806143842</v>
      </c>
      <c r="I81" s="53">
        <f t="shared" si="3"/>
        <v>99557.606594453071</v>
      </c>
      <c r="J81" s="8"/>
    </row>
    <row r="82" spans="1:13" ht="15" x14ac:dyDescent="0.25">
      <c r="A82" s="31" t="s">
        <v>14</v>
      </c>
      <c r="B82" s="32">
        <f>B57+B63</f>
        <v>28214</v>
      </c>
      <c r="C82" s="32">
        <f>C57+C63</f>
        <v>26408</v>
      </c>
      <c r="D82" s="32">
        <f>C82-B82</f>
        <v>-1806</v>
      </c>
      <c r="E82" s="32">
        <f>E57+E63</f>
        <v>28875</v>
      </c>
      <c r="F82" s="52" t="s">
        <v>43</v>
      </c>
      <c r="G82" s="53">
        <f t="shared" si="3"/>
        <v>33559.978768463494</v>
      </c>
      <c r="H82" s="53">
        <f t="shared" si="3"/>
        <v>32459.424629800225</v>
      </c>
      <c r="I82" s="53">
        <f t="shared" si="3"/>
        <v>31358.870491136946</v>
      </c>
      <c r="J82" s="8"/>
    </row>
    <row r="83" spans="1:13" ht="15" x14ac:dyDescent="0.25">
      <c r="A83" s="31" t="s">
        <v>12</v>
      </c>
      <c r="B83" s="32">
        <f>B81+B82</f>
        <v>94172</v>
      </c>
      <c r="C83" s="32">
        <f>C81+C82</f>
        <v>105916</v>
      </c>
      <c r="D83" s="32">
        <f>C83-B83</f>
        <v>11744</v>
      </c>
      <c r="E83" s="32">
        <f>E81+E82</f>
        <v>118720</v>
      </c>
      <c r="F83" s="52" t="s">
        <v>42</v>
      </c>
      <c r="G83" s="53">
        <f>G81+G82</f>
        <v>139569.06829688727</v>
      </c>
      <c r="H83" s="53">
        <f>H81+H82</f>
        <v>135242.77269123864</v>
      </c>
      <c r="I83" s="53">
        <f>I81+I82</f>
        <v>130916.47708559001</v>
      </c>
      <c r="J83" s="5"/>
    </row>
    <row r="84" spans="1:13" ht="15" x14ac:dyDescent="0.25">
      <c r="A84" s="31"/>
      <c r="B84" s="32"/>
      <c r="C84" s="32"/>
      <c r="D84" s="32"/>
      <c r="E84" s="32"/>
      <c r="F84" s="54" t="s">
        <v>205</v>
      </c>
      <c r="G84" s="75"/>
      <c r="H84" s="76"/>
      <c r="I84" s="77"/>
      <c r="J84" s="5"/>
    </row>
    <row r="85" spans="1:13" ht="15" x14ac:dyDescent="0.25">
      <c r="A85" s="31"/>
      <c r="B85" s="32"/>
      <c r="C85" s="39"/>
      <c r="D85" s="31"/>
      <c r="E85" s="31"/>
      <c r="F85" s="49" t="s">
        <v>44</v>
      </c>
      <c r="G85" s="78" t="s">
        <v>35</v>
      </c>
      <c r="H85" s="79" t="s">
        <v>36</v>
      </c>
      <c r="I85" s="78" t="s">
        <v>37</v>
      </c>
      <c r="J85" s="5"/>
    </row>
    <row r="86" spans="1:13" x14ac:dyDescent="0.2">
      <c r="A86" s="31"/>
      <c r="B86" s="31"/>
      <c r="C86" s="31"/>
      <c r="D86" s="31"/>
      <c r="E86" s="31"/>
      <c r="F86" s="52" t="s">
        <v>41</v>
      </c>
      <c r="G86" s="53">
        <f>G81-E81</f>
        <v>16164.089528423778</v>
      </c>
      <c r="H86" s="53">
        <f>H81-E81</f>
        <v>12938.348061438417</v>
      </c>
      <c r="I86" s="53">
        <f>I81-E81</f>
        <v>9712.606594453071</v>
      </c>
      <c r="J86" s="4"/>
    </row>
    <row r="87" spans="1:13" ht="15" x14ac:dyDescent="0.25">
      <c r="A87" s="31"/>
      <c r="B87" s="31"/>
      <c r="C87" s="31"/>
      <c r="D87" s="31"/>
      <c r="E87" s="31"/>
      <c r="F87" s="52" t="s">
        <v>43</v>
      </c>
      <c r="G87" s="53">
        <f>G82-E82</f>
        <v>4684.9787684634939</v>
      </c>
      <c r="H87" s="53">
        <f>H82-E82</f>
        <v>3584.4246298002254</v>
      </c>
      <c r="I87" s="53">
        <f>I82-E82</f>
        <v>2483.8704911369459</v>
      </c>
      <c r="J87" s="12"/>
    </row>
    <row r="88" spans="1:13" ht="15" x14ac:dyDescent="0.25">
      <c r="A88" s="31"/>
      <c r="B88" s="31"/>
      <c r="C88" s="31"/>
      <c r="D88" s="31"/>
      <c r="E88" s="31"/>
      <c r="F88" s="52" t="s">
        <v>42</v>
      </c>
      <c r="G88" s="53">
        <f>G83-E83</f>
        <v>20849.068296887272</v>
      </c>
      <c r="H88" s="53">
        <f>H83-E83</f>
        <v>16522.772691238642</v>
      </c>
      <c r="I88" s="53">
        <f>I83-E83</f>
        <v>12196.477085590013</v>
      </c>
      <c r="J88" s="12"/>
    </row>
    <row r="89" spans="1:13" ht="15" x14ac:dyDescent="0.25">
      <c r="A89" s="31"/>
      <c r="B89" s="38"/>
      <c r="C89" s="38"/>
      <c r="D89" s="31"/>
      <c r="E89" s="31"/>
      <c r="F89" s="35" t="s">
        <v>91</v>
      </c>
      <c r="G89" s="36"/>
      <c r="H89" s="36"/>
      <c r="I89" s="55"/>
      <c r="J89" s="12"/>
    </row>
    <row r="90" spans="1:13" x14ac:dyDescent="0.2">
      <c r="A90" s="31"/>
      <c r="B90" s="38"/>
      <c r="C90" s="38"/>
      <c r="D90" s="31"/>
      <c r="E90" s="31"/>
      <c r="F90" s="52" t="s">
        <v>41</v>
      </c>
      <c r="G90" s="53">
        <f t="shared" ref="G90:I91" si="4">(1-$G$16)*G86</f>
        <v>8719.6992499448534</v>
      </c>
      <c r="H90" s="53">
        <f t="shared" si="4"/>
        <v>6979.5767765616529</v>
      </c>
      <c r="I90" s="53">
        <f t="shared" si="4"/>
        <v>5239.4543031784615</v>
      </c>
      <c r="J90" s="4"/>
    </row>
    <row r="91" spans="1:13" x14ac:dyDescent="0.2">
      <c r="A91" s="31"/>
      <c r="B91" s="38"/>
      <c r="C91" s="38"/>
      <c r="D91" s="31"/>
      <c r="E91" s="31"/>
      <c r="F91" s="52" t="s">
        <v>43</v>
      </c>
      <c r="G91" s="53">
        <f t="shared" si="4"/>
        <v>2527.3063343000604</v>
      </c>
      <c r="H91" s="53">
        <f t="shared" si="4"/>
        <v>1933.6136873649625</v>
      </c>
      <c r="I91" s="53">
        <f t="shared" si="4"/>
        <v>1339.9210404298592</v>
      </c>
      <c r="J91" s="4"/>
    </row>
    <row r="92" spans="1:13" x14ac:dyDescent="0.2">
      <c r="A92" s="31"/>
      <c r="B92" s="38"/>
      <c r="C92" s="38"/>
      <c r="D92" s="31"/>
      <c r="E92" s="31"/>
      <c r="F92" s="52" t="s">
        <v>42</v>
      </c>
      <c r="G92" s="53">
        <f>G90+G91</f>
        <v>11247.005584244915</v>
      </c>
      <c r="H92" s="53">
        <f>H90+H91</f>
        <v>8913.1904639266158</v>
      </c>
      <c r="I92" s="53">
        <f>I90+I91</f>
        <v>6579.3753436083207</v>
      </c>
      <c r="J92" s="4"/>
    </row>
    <row r="93" spans="1:13" ht="14.25" x14ac:dyDescent="0.2">
      <c r="A93" s="30"/>
      <c r="B93" s="67"/>
      <c r="C93" s="67"/>
      <c r="D93" s="30"/>
      <c r="E93" s="30"/>
      <c r="F93" s="69"/>
      <c r="G93" s="72"/>
      <c r="H93" s="72"/>
      <c r="I93" s="74"/>
    </row>
    <row r="94" spans="1:13" ht="14.25" x14ac:dyDescent="0.2">
      <c r="A94" s="30"/>
      <c r="B94" s="67"/>
      <c r="C94" s="67"/>
      <c r="D94" s="30"/>
      <c r="E94" s="30"/>
      <c r="F94" s="69"/>
      <c r="G94" s="72"/>
      <c r="H94" s="72"/>
      <c r="I94" s="74"/>
    </row>
    <row r="95" spans="1:13" ht="25.5" x14ac:dyDescent="0.2">
      <c r="A95" s="184" t="s">
        <v>155</v>
      </c>
      <c r="B95" s="181">
        <v>1990</v>
      </c>
      <c r="C95" s="182">
        <v>2000</v>
      </c>
      <c r="D95" s="183" t="s">
        <v>117</v>
      </c>
      <c r="E95" s="48">
        <v>2010</v>
      </c>
      <c r="F95" s="34"/>
      <c r="G95" s="175"/>
      <c r="H95" s="176" t="s">
        <v>185</v>
      </c>
      <c r="I95" s="177"/>
      <c r="K95" s="178"/>
      <c r="L95" s="179" t="s">
        <v>186</v>
      </c>
      <c r="M95" s="180"/>
    </row>
    <row r="96" spans="1:13" x14ac:dyDescent="0.2">
      <c r="A96" s="21" t="s">
        <v>150</v>
      </c>
      <c r="B96" s="32">
        <f t="shared" ref="B96:C98" si="5">B29</f>
        <v>75557</v>
      </c>
      <c r="C96" s="32">
        <f t="shared" si="5"/>
        <v>87213</v>
      </c>
      <c r="D96" s="32">
        <f>C96-B96</f>
        <v>11656</v>
      </c>
      <c r="E96" s="32">
        <f t="shared" ref="E96:I98" si="6">E29</f>
        <v>91649</v>
      </c>
      <c r="F96" s="34"/>
      <c r="G96" s="32">
        <f t="shared" si="6"/>
        <v>99597.03205086448</v>
      </c>
      <c r="H96" s="32">
        <f t="shared" si="6"/>
        <v>95347.01602543224</v>
      </c>
      <c r="I96" s="32">
        <f t="shared" si="6"/>
        <v>91097</v>
      </c>
      <c r="K96" s="3">
        <f>G96-E96</f>
        <v>7948.03205086448</v>
      </c>
      <c r="L96" s="3">
        <f>H96-E96</f>
        <v>3698.01602543224</v>
      </c>
      <c r="M96" s="3">
        <f>I96-E96</f>
        <v>-552</v>
      </c>
    </row>
    <row r="97" spans="1:13" x14ac:dyDescent="0.2">
      <c r="A97" s="31" t="s">
        <v>151</v>
      </c>
      <c r="B97" s="32">
        <f t="shared" si="5"/>
        <v>53805</v>
      </c>
      <c r="C97" s="32">
        <f t="shared" si="5"/>
        <v>65237</v>
      </c>
      <c r="D97" s="32">
        <f>C97-B97</f>
        <v>11432</v>
      </c>
      <c r="E97" s="32">
        <f t="shared" si="6"/>
        <v>69640</v>
      </c>
      <c r="F97" s="34"/>
      <c r="G97" s="32">
        <f t="shared" si="6"/>
        <v>74837.725695409245</v>
      </c>
      <c r="H97" s="32">
        <f t="shared" si="6"/>
        <v>71644.241643093745</v>
      </c>
      <c r="I97" s="32">
        <f t="shared" si="6"/>
        <v>68450.757590778245</v>
      </c>
      <c r="K97" s="3">
        <f t="shared" ref="K97:K106" si="7">G97-E97</f>
        <v>5197.7256954092445</v>
      </c>
      <c r="L97" s="3">
        <f t="shared" ref="L97:L106" si="8">H97-E97</f>
        <v>2004.2416430937446</v>
      </c>
      <c r="M97" s="3">
        <f t="shared" ref="M97:M106" si="9">I97-E97</f>
        <v>-1189.2424092217552</v>
      </c>
    </row>
    <row r="98" spans="1:13" x14ac:dyDescent="0.2">
      <c r="A98" s="31" t="s">
        <v>152</v>
      </c>
      <c r="B98" s="32">
        <f t="shared" si="5"/>
        <v>21752</v>
      </c>
      <c r="C98" s="32">
        <f t="shared" si="5"/>
        <v>21976</v>
      </c>
      <c r="D98" s="32">
        <f>C98-B98</f>
        <v>224</v>
      </c>
      <c r="E98" s="32">
        <f t="shared" si="6"/>
        <v>22009</v>
      </c>
      <c r="F98" s="34"/>
      <c r="G98" s="32">
        <f t="shared" si="6"/>
        <v>24759.306355455235</v>
      </c>
      <c r="H98" s="32">
        <f t="shared" si="6"/>
        <v>23702.774382338495</v>
      </c>
      <c r="I98" s="32">
        <f t="shared" si="6"/>
        <v>22646.56665098228</v>
      </c>
      <c r="K98" s="3">
        <f t="shared" si="7"/>
        <v>2750.3063554552355</v>
      </c>
      <c r="L98" s="3">
        <f t="shared" si="8"/>
        <v>1693.7743823384953</v>
      </c>
      <c r="M98" s="3">
        <f t="shared" si="9"/>
        <v>637.56665098228041</v>
      </c>
    </row>
    <row r="99" spans="1:13" x14ac:dyDescent="0.2">
      <c r="A99" s="31"/>
      <c r="B99" s="31"/>
      <c r="C99" s="31"/>
      <c r="D99" s="31"/>
      <c r="E99" s="31"/>
      <c r="F99" s="34"/>
      <c r="G99" s="31"/>
      <c r="H99" s="31"/>
      <c r="I99" s="31"/>
      <c r="K99" s="3"/>
      <c r="L99" s="3"/>
      <c r="M99" s="3"/>
    </row>
    <row r="100" spans="1:13" x14ac:dyDescent="0.2">
      <c r="A100" s="21" t="s">
        <v>153</v>
      </c>
      <c r="B100" s="32">
        <f>B41</f>
        <v>13561</v>
      </c>
      <c r="C100" s="32">
        <f>C41</f>
        <v>17316</v>
      </c>
      <c r="D100" s="32">
        <f t="shared" ref="D100:D106" si="10">C100-B100</f>
        <v>3755</v>
      </c>
      <c r="E100" s="32">
        <f>E41</f>
        <v>23384</v>
      </c>
      <c r="F100" s="34"/>
      <c r="G100" s="32">
        <f>G41</f>
        <v>36992</v>
      </c>
      <c r="H100" s="32">
        <f>H41</f>
        <v>36992</v>
      </c>
      <c r="I100" s="32">
        <f>I41</f>
        <v>36992</v>
      </c>
      <c r="K100" s="3">
        <f t="shared" si="7"/>
        <v>13608</v>
      </c>
      <c r="L100" s="3">
        <f t="shared" si="8"/>
        <v>13608</v>
      </c>
      <c r="M100" s="3">
        <f t="shared" si="9"/>
        <v>13608</v>
      </c>
    </row>
    <row r="101" spans="1:13" x14ac:dyDescent="0.2">
      <c r="A101" s="31" t="s">
        <v>151</v>
      </c>
      <c r="B101" s="32">
        <f>B45</f>
        <v>10519</v>
      </c>
      <c r="C101" s="32">
        <f>C45</f>
        <v>13755</v>
      </c>
      <c r="D101" s="32">
        <f t="shared" si="10"/>
        <v>3236</v>
      </c>
      <c r="E101" s="32">
        <f t="shared" ref="E101:I102" si="11">E45</f>
        <v>18725</v>
      </c>
      <c r="F101" s="34"/>
      <c r="G101" s="32">
        <f t="shared" si="11"/>
        <v>29755.48673773028</v>
      </c>
      <c r="H101" s="32">
        <f t="shared" si="11"/>
        <v>29755.48673773028</v>
      </c>
      <c r="I101" s="32">
        <f t="shared" si="11"/>
        <v>29755.48673773028</v>
      </c>
      <c r="K101" s="3">
        <f t="shared" si="7"/>
        <v>11030.48673773028</v>
      </c>
      <c r="L101" s="3">
        <f t="shared" si="8"/>
        <v>11030.48673773028</v>
      </c>
      <c r="M101" s="3">
        <f t="shared" si="9"/>
        <v>11030.48673773028</v>
      </c>
    </row>
    <row r="102" spans="1:13" x14ac:dyDescent="0.2">
      <c r="A102" s="31" t="s">
        <v>152</v>
      </c>
      <c r="B102" s="32">
        <f>B46</f>
        <v>3042</v>
      </c>
      <c r="C102" s="32">
        <f>C46</f>
        <v>3561</v>
      </c>
      <c r="D102" s="32">
        <f t="shared" si="10"/>
        <v>519</v>
      </c>
      <c r="E102" s="32">
        <f t="shared" si="11"/>
        <v>4659</v>
      </c>
      <c r="F102" s="34"/>
      <c r="G102" s="32">
        <f t="shared" si="11"/>
        <v>7236.5132622697201</v>
      </c>
      <c r="H102" s="32">
        <f t="shared" si="11"/>
        <v>7236.5132622697201</v>
      </c>
      <c r="I102" s="32">
        <f t="shared" si="11"/>
        <v>7236.5459172703131</v>
      </c>
      <c r="K102" s="3">
        <f t="shared" si="7"/>
        <v>2577.5132622697201</v>
      </c>
      <c r="L102" s="3">
        <f t="shared" si="8"/>
        <v>2577.5132622697201</v>
      </c>
      <c r="M102" s="3">
        <f t="shared" si="9"/>
        <v>2577.5459172703131</v>
      </c>
    </row>
    <row r="103" spans="1:13" x14ac:dyDescent="0.2">
      <c r="A103" s="31"/>
      <c r="B103" s="38"/>
      <c r="C103" s="38"/>
      <c r="D103" s="31"/>
      <c r="E103" s="31"/>
      <c r="F103" s="34"/>
      <c r="G103" s="31"/>
      <c r="H103" s="31"/>
      <c r="I103" s="31"/>
      <c r="K103" s="3"/>
      <c r="L103" s="3"/>
      <c r="M103" s="3"/>
    </row>
    <row r="104" spans="1:13" x14ac:dyDescent="0.2">
      <c r="A104" s="21" t="s">
        <v>154</v>
      </c>
      <c r="B104" s="32">
        <f t="shared" ref="B104:C106" si="12">B55</f>
        <v>89118</v>
      </c>
      <c r="C104" s="32">
        <f t="shared" si="12"/>
        <v>104529</v>
      </c>
      <c r="D104" s="32">
        <f t="shared" si="10"/>
        <v>15411</v>
      </c>
      <c r="E104" s="32">
        <f>E55</f>
        <v>115033</v>
      </c>
      <c r="F104" s="34"/>
      <c r="G104" s="32">
        <f>G55</f>
        <v>136589.03205086448</v>
      </c>
      <c r="H104" s="32">
        <f>H55</f>
        <v>132339.01602543224</v>
      </c>
      <c r="I104" s="32">
        <f>I55</f>
        <v>128089</v>
      </c>
      <c r="K104" s="3">
        <f t="shared" si="7"/>
        <v>21556.03205086448</v>
      </c>
      <c r="L104" s="3">
        <f t="shared" si="8"/>
        <v>17306.01602543224</v>
      </c>
      <c r="M104" s="3">
        <f t="shared" si="9"/>
        <v>13056</v>
      </c>
    </row>
    <row r="105" spans="1:13" x14ac:dyDescent="0.2">
      <c r="A105" s="31" t="s">
        <v>151</v>
      </c>
      <c r="B105" s="32">
        <f t="shared" si="12"/>
        <v>64324</v>
      </c>
      <c r="C105" s="32">
        <f t="shared" si="12"/>
        <v>78992</v>
      </c>
      <c r="D105" s="32">
        <f t="shared" si="10"/>
        <v>14668</v>
      </c>
      <c r="E105" s="32">
        <f t="shared" ref="E105:I106" si="13">E56</f>
        <v>88365</v>
      </c>
      <c r="F105" s="34"/>
      <c r="G105" s="32">
        <f t="shared" si="13"/>
        <v>104593.21243313953</v>
      </c>
      <c r="H105" s="32">
        <f t="shared" si="13"/>
        <v>101399.72838082403</v>
      </c>
      <c r="I105" s="32">
        <f t="shared" si="13"/>
        <v>98206.244328508532</v>
      </c>
      <c r="K105" s="3">
        <f t="shared" si="7"/>
        <v>16228.212433139532</v>
      </c>
      <c r="L105" s="3">
        <f t="shared" si="8"/>
        <v>13034.728380824032</v>
      </c>
      <c r="M105" s="3">
        <f t="shared" si="9"/>
        <v>9841.2443285085319</v>
      </c>
    </row>
    <row r="106" spans="1:13" x14ac:dyDescent="0.2">
      <c r="A106" s="31" t="s">
        <v>152</v>
      </c>
      <c r="B106" s="32">
        <f t="shared" si="12"/>
        <v>24794</v>
      </c>
      <c r="C106" s="32">
        <f t="shared" si="12"/>
        <v>25537</v>
      </c>
      <c r="D106" s="32">
        <f t="shared" si="10"/>
        <v>743</v>
      </c>
      <c r="E106" s="32">
        <f t="shared" si="13"/>
        <v>26668</v>
      </c>
      <c r="F106" s="34"/>
      <c r="G106" s="32">
        <f t="shared" si="13"/>
        <v>31995.819617724956</v>
      </c>
      <c r="H106" s="32">
        <f t="shared" si="13"/>
        <v>30939.287644608215</v>
      </c>
      <c r="I106" s="32">
        <f t="shared" si="13"/>
        <v>29882.755671491468</v>
      </c>
      <c r="K106" s="3">
        <f t="shared" si="7"/>
        <v>5327.8196177249556</v>
      </c>
      <c r="L106" s="3">
        <f t="shared" si="8"/>
        <v>4271.2876446082155</v>
      </c>
      <c r="M106" s="3">
        <f t="shared" si="9"/>
        <v>3214.7556714914681</v>
      </c>
    </row>
    <row r="107" spans="1:13" ht="14.25" x14ac:dyDescent="0.2">
      <c r="A107" s="30"/>
      <c r="B107" s="67"/>
      <c r="C107" s="67"/>
      <c r="D107" s="30"/>
      <c r="E107" s="30"/>
      <c r="F107" s="69"/>
      <c r="G107" s="72"/>
      <c r="H107" s="72"/>
      <c r="I107" s="74"/>
    </row>
    <row r="108" spans="1:13" ht="14.25" x14ac:dyDescent="0.2">
      <c r="A108" s="30"/>
      <c r="B108" s="67"/>
      <c r="C108" s="67"/>
      <c r="D108" s="30"/>
      <c r="E108" s="30"/>
      <c r="F108" s="69"/>
      <c r="G108" s="72"/>
      <c r="H108" s="72"/>
      <c r="I108" s="74"/>
    </row>
    <row r="109" spans="1:13" s="31" customFormat="1" x14ac:dyDescent="0.2">
      <c r="A109" s="222" t="s">
        <v>206</v>
      </c>
      <c r="B109" s="38"/>
      <c r="C109" s="38"/>
      <c r="E109" s="57" t="s">
        <v>187</v>
      </c>
      <c r="F109" s="34"/>
      <c r="G109" s="45"/>
      <c r="H109" s="58"/>
      <c r="I109" s="56"/>
    </row>
    <row r="110" spans="1:13" s="31" customFormat="1" x14ac:dyDescent="0.2">
      <c r="A110" s="222" t="s">
        <v>207</v>
      </c>
      <c r="B110" s="38"/>
      <c r="C110" s="38"/>
      <c r="E110" s="219" t="s">
        <v>209</v>
      </c>
      <c r="F110" s="34"/>
      <c r="H110" s="59"/>
    </row>
    <row r="111" spans="1:13" s="31" customFormat="1" x14ac:dyDescent="0.2">
      <c r="A111" s="21"/>
      <c r="B111" s="38"/>
      <c r="C111" s="38"/>
      <c r="F111" s="34"/>
      <c r="G111" s="60" t="s">
        <v>77</v>
      </c>
      <c r="H111" s="60" t="s">
        <v>78</v>
      </c>
      <c r="I111" s="61" t="s">
        <v>79</v>
      </c>
    </row>
    <row r="112" spans="1:13" s="31" customFormat="1" x14ac:dyDescent="0.2">
      <c r="A112" s="21" t="s">
        <v>49</v>
      </c>
      <c r="B112" s="38"/>
      <c r="C112" s="62" t="s">
        <v>208</v>
      </c>
      <c r="E112" s="21" t="s">
        <v>49</v>
      </c>
      <c r="F112" s="34"/>
      <c r="G112" s="45"/>
      <c r="I112" s="56"/>
    </row>
    <row r="113" spans="1:9" s="31" customFormat="1" x14ac:dyDescent="0.2">
      <c r="A113" s="31" t="s">
        <v>50</v>
      </c>
      <c r="B113" s="38"/>
      <c r="C113" s="217">
        <v>6242.6237447489493</v>
      </c>
      <c r="E113" s="31" t="s">
        <v>50</v>
      </c>
      <c r="F113" s="34"/>
      <c r="G113" s="45">
        <f>G56*C141</f>
        <v>7285.1189551546186</v>
      </c>
      <c r="H113" s="45">
        <f>H56*C141</f>
        <v>7062.6866322409351</v>
      </c>
      <c r="I113" s="45">
        <f>I56*C141</f>
        <v>6840.2543093272507</v>
      </c>
    </row>
    <row r="114" spans="1:9" s="31" customFormat="1" x14ac:dyDescent="0.2">
      <c r="A114" s="31" t="s">
        <v>51</v>
      </c>
      <c r="B114" s="38"/>
      <c r="C114" s="217">
        <v>14526.427528501899</v>
      </c>
      <c r="E114" s="31" t="s">
        <v>51</v>
      </c>
      <c r="F114" s="34"/>
      <c r="G114" s="45">
        <f>G56*C142</f>
        <v>16952.287510133279</v>
      </c>
      <c r="H114" s="45">
        <f>H56*C142</f>
        <v>16434.693121792978</v>
      </c>
      <c r="I114" s="45">
        <f>I56*C142</f>
        <v>15917.09873345268</v>
      </c>
    </row>
    <row r="115" spans="1:9" s="31" customFormat="1" x14ac:dyDescent="0.2">
      <c r="A115" s="31" t="s">
        <v>52</v>
      </c>
      <c r="B115" s="38"/>
      <c r="C115" s="217">
        <v>18978.725795053004</v>
      </c>
      <c r="E115" s="31" t="s">
        <v>52</v>
      </c>
      <c r="F115" s="34"/>
      <c r="G115" s="45">
        <f>G56*C143</f>
        <v>22148.103215498668</v>
      </c>
      <c r="H115" s="45">
        <f>H56*C143</f>
        <v>21471.867991793824</v>
      </c>
      <c r="I115" s="45">
        <f>I56*C143</f>
        <v>20795.632768088977</v>
      </c>
    </row>
    <row r="116" spans="1:9" s="31" customFormat="1" x14ac:dyDescent="0.2">
      <c r="A116" s="31" t="s">
        <v>53</v>
      </c>
      <c r="B116" s="38"/>
      <c r="C116" s="217">
        <v>27916.974574983004</v>
      </c>
      <c r="E116" s="31" t="s">
        <v>53</v>
      </c>
      <c r="F116" s="34"/>
      <c r="G116" s="45">
        <f>G56*C144</f>
        <v>32579.006674533644</v>
      </c>
      <c r="H116" s="45">
        <f>H56*C144</f>
        <v>31584.290709366109</v>
      </c>
      <c r="I116" s="45">
        <f>I56*C144</f>
        <v>30589.574744198573</v>
      </c>
    </row>
    <row r="117" spans="1:9" s="31" customFormat="1" x14ac:dyDescent="0.2">
      <c r="A117" s="31" t="s">
        <v>54</v>
      </c>
      <c r="B117" s="38"/>
      <c r="C117" s="217">
        <v>36875.269410776433</v>
      </c>
      <c r="E117" s="31" t="s">
        <v>54</v>
      </c>
      <c r="F117" s="34"/>
      <c r="G117" s="45">
        <f>G56*C145</f>
        <v>43033.303807049197</v>
      </c>
      <c r="H117" s="45">
        <f>H56*C145</f>
        <v>41719.392834918879</v>
      </c>
      <c r="I117" s="45">
        <f>I56*C145</f>
        <v>40405.481862788554</v>
      </c>
    </row>
    <row r="118" spans="1:9" s="31" customFormat="1" x14ac:dyDescent="0.2">
      <c r="A118" s="31" t="s">
        <v>55</v>
      </c>
      <c r="B118" s="38"/>
      <c r="C118" s="217">
        <v>45618.389007560298</v>
      </c>
      <c r="E118" s="31" t="s">
        <v>55</v>
      </c>
      <c r="F118" s="34"/>
      <c r="G118" s="45">
        <f>G56*C146</f>
        <v>53236.492226868897</v>
      </c>
      <c r="H118" s="45">
        <f>H56*C146</f>
        <v>51611.053204844393</v>
      </c>
      <c r="I118" s="45">
        <f>I56*C146</f>
        <v>49985.614182819882</v>
      </c>
    </row>
    <row r="119" spans="1:9" s="31" customFormat="1" x14ac:dyDescent="0.2">
      <c r="A119" s="31" t="s">
        <v>56</v>
      </c>
      <c r="B119" s="38"/>
      <c r="C119" s="217">
        <v>89626</v>
      </c>
      <c r="E119" s="31" t="s">
        <v>56</v>
      </c>
      <c r="F119" s="34"/>
      <c r="G119" s="45">
        <f>G56*C147</f>
        <v>104593.21243313953</v>
      </c>
      <c r="H119" s="45">
        <f>H56*C147</f>
        <v>101399.72838082403</v>
      </c>
      <c r="I119" s="45">
        <f>I56*C147</f>
        <v>98206.244328508532</v>
      </c>
    </row>
    <row r="120" spans="1:9" s="31" customFormat="1" x14ac:dyDescent="0.2">
      <c r="B120" s="38"/>
      <c r="C120" s="32"/>
      <c r="F120" s="34"/>
      <c r="G120" s="45"/>
      <c r="H120" s="45"/>
      <c r="I120" s="45"/>
    </row>
    <row r="121" spans="1:9" s="31" customFormat="1" x14ac:dyDescent="0.2">
      <c r="A121" s="21" t="s">
        <v>0</v>
      </c>
      <c r="B121" s="38"/>
      <c r="C121" s="32"/>
      <c r="E121" s="21" t="s">
        <v>0</v>
      </c>
      <c r="F121" s="34"/>
      <c r="G121" s="45"/>
      <c r="H121" s="45"/>
      <c r="I121" s="45"/>
    </row>
    <row r="122" spans="1:9" s="31" customFormat="1" x14ac:dyDescent="0.2">
      <c r="A122" s="31" t="s">
        <v>50</v>
      </c>
      <c r="B122" s="38"/>
      <c r="C122" s="217">
        <v>6345.2585917183433</v>
      </c>
      <c r="E122" s="31" t="s">
        <v>50</v>
      </c>
      <c r="F122" s="34"/>
      <c r="G122" s="45">
        <f>G57*C150</f>
        <v>8085.9387178763573</v>
      </c>
      <c r="H122" s="45">
        <f>H57*C150</f>
        <v>7818.9334374938444</v>
      </c>
      <c r="I122" s="45">
        <f>I57*C150</f>
        <v>7551.9281571113297</v>
      </c>
    </row>
    <row r="123" spans="1:9" s="31" customFormat="1" x14ac:dyDescent="0.2">
      <c r="A123" s="31" t="s">
        <v>51</v>
      </c>
      <c r="B123" s="38"/>
      <c r="C123" s="217">
        <v>10790.46353090206</v>
      </c>
      <c r="E123" s="31" t="s">
        <v>51</v>
      </c>
      <c r="F123" s="34"/>
      <c r="G123" s="45">
        <f>G57*C151</f>
        <v>13750.586455567221</v>
      </c>
      <c r="H123" s="45">
        <f>H57*C151</f>
        <v>13296.529193931561</v>
      </c>
      <c r="I123" s="45">
        <f>I57*C151</f>
        <v>12842.471932295895</v>
      </c>
    </row>
    <row r="124" spans="1:9" s="31" customFormat="1" x14ac:dyDescent="0.2">
      <c r="A124" s="31" t="s">
        <v>52</v>
      </c>
      <c r="B124" s="38"/>
      <c r="C124" s="217">
        <v>13113.035335689045</v>
      </c>
      <c r="E124" s="31" t="s">
        <v>52</v>
      </c>
      <c r="F124" s="34"/>
      <c r="G124" s="45">
        <f>G57*C152</f>
        <v>16710.304016311933</v>
      </c>
      <c r="H124" s="45">
        <f>H57*C152</f>
        <v>16158.514104858808</v>
      </c>
      <c r="I124" s="45">
        <f>I57*C152</f>
        <v>15606.72419340568</v>
      </c>
    </row>
    <row r="125" spans="1:9" s="31" customFormat="1" x14ac:dyDescent="0.2">
      <c r="A125" s="31" t="s">
        <v>53</v>
      </c>
      <c r="B125" s="38"/>
      <c r="C125" s="217">
        <v>17018.893019720788</v>
      </c>
      <c r="E125" s="31" t="s">
        <v>53</v>
      </c>
      <c r="F125" s="34"/>
      <c r="G125" s="45">
        <f>G57*C153</f>
        <v>21687.646612726807</v>
      </c>
      <c r="H125" s="45">
        <f>H57*C153</f>
        <v>20971.500180418847</v>
      </c>
      <c r="I125" s="45">
        <f>I57*C153</f>
        <v>20255.35374811088</v>
      </c>
    </row>
    <row r="126" spans="1:9" s="31" customFormat="1" x14ac:dyDescent="0.2">
      <c r="A126" s="31" t="s">
        <v>54</v>
      </c>
      <c r="B126" s="38"/>
      <c r="C126" s="217">
        <v>20505.483499339975</v>
      </c>
      <c r="E126" s="31" t="s">
        <v>54</v>
      </c>
      <c r="F126" s="34"/>
      <c r="G126" s="45">
        <f>G57*C154</f>
        <v>26130.705401430514</v>
      </c>
      <c r="H126" s="45">
        <f>H57*C154</f>
        <v>25267.845000710804</v>
      </c>
      <c r="I126" s="45">
        <f>I57*C154</f>
        <v>24404.98459999109</v>
      </c>
    </row>
    <row r="127" spans="1:9" s="31" customFormat="1" x14ac:dyDescent="0.2">
      <c r="A127" s="31" t="s">
        <v>55</v>
      </c>
      <c r="B127" s="38"/>
      <c r="C127" s="217">
        <v>21955.958622344893</v>
      </c>
      <c r="E127" s="31" t="s">
        <v>55</v>
      </c>
      <c r="F127" s="34"/>
      <c r="G127" s="45">
        <f>G57*C155</f>
        <v>27979.086013014981</v>
      </c>
      <c r="H127" s="45">
        <f>H57*C155</f>
        <v>27055.190350877991</v>
      </c>
      <c r="I127" s="45">
        <f>I57*C155</f>
        <v>26131.294688740993</v>
      </c>
    </row>
    <row r="128" spans="1:9" s="31" customFormat="1" x14ac:dyDescent="0.2">
      <c r="A128" s="31" t="s">
        <v>57</v>
      </c>
      <c r="B128" s="38"/>
      <c r="C128" s="217">
        <v>25108</v>
      </c>
      <c r="E128" s="31" t="s">
        <v>57</v>
      </c>
      <c r="F128" s="34"/>
      <c r="G128" s="45">
        <f>G57*C156</f>
        <v>31995.819617724956</v>
      </c>
      <c r="H128" s="45">
        <f>H57*C156</f>
        <v>30939.287644608215</v>
      </c>
      <c r="I128" s="45">
        <f>I57*C156</f>
        <v>29882.755671491468</v>
      </c>
    </row>
    <row r="129" spans="1:9" s="31" customFormat="1" x14ac:dyDescent="0.2">
      <c r="B129" s="38"/>
      <c r="C129" s="32"/>
      <c r="F129" s="34"/>
      <c r="G129" s="45"/>
      <c r="H129" s="45"/>
      <c r="I129" s="45"/>
    </row>
    <row r="130" spans="1:9" s="31" customFormat="1" x14ac:dyDescent="0.2">
      <c r="A130" s="21" t="s">
        <v>58</v>
      </c>
      <c r="B130" s="38"/>
      <c r="C130" s="38"/>
      <c r="E130" s="21" t="s">
        <v>58</v>
      </c>
      <c r="F130" s="34"/>
      <c r="G130" s="45"/>
      <c r="H130" s="45"/>
      <c r="I130" s="45"/>
    </row>
    <row r="131" spans="1:9" s="31" customFormat="1" x14ac:dyDescent="0.2">
      <c r="A131" s="31" t="s">
        <v>50</v>
      </c>
      <c r="B131" s="38"/>
      <c r="C131" s="32">
        <f t="shared" ref="C131:C137" si="14">C113+C122</f>
        <v>12587.882336467293</v>
      </c>
      <c r="E131" s="31" t="s">
        <v>50</v>
      </c>
      <c r="F131" s="34"/>
      <c r="G131" s="32">
        <f>G113+G122</f>
        <v>15371.057673030977</v>
      </c>
      <c r="H131" s="32">
        <f>H113+H122</f>
        <v>14881.620069734779</v>
      </c>
      <c r="I131" s="32">
        <f>I113+I122</f>
        <v>14392.18246643858</v>
      </c>
    </row>
    <row r="132" spans="1:9" s="31" customFormat="1" x14ac:dyDescent="0.2">
      <c r="A132" s="31" t="s">
        <v>51</v>
      </c>
      <c r="B132" s="38"/>
      <c r="C132" s="32">
        <f t="shared" si="14"/>
        <v>25316.891059403959</v>
      </c>
      <c r="E132" s="31" t="s">
        <v>51</v>
      </c>
      <c r="F132" s="34"/>
      <c r="G132" s="32">
        <f t="shared" ref="G132:I137" si="15">G114+G123</f>
        <v>30702.873965700499</v>
      </c>
      <c r="H132" s="32">
        <f t="shared" si="15"/>
        <v>29731.222315724539</v>
      </c>
      <c r="I132" s="32">
        <f t="shared" si="15"/>
        <v>28759.570665748575</v>
      </c>
    </row>
    <row r="133" spans="1:9" s="31" customFormat="1" x14ac:dyDescent="0.2">
      <c r="A133" s="31" t="s">
        <v>52</v>
      </c>
      <c r="B133" s="38"/>
      <c r="C133" s="32">
        <f t="shared" si="14"/>
        <v>32091.761130742048</v>
      </c>
      <c r="E133" s="31" t="s">
        <v>52</v>
      </c>
      <c r="F133" s="34"/>
      <c r="G133" s="32">
        <f t="shared" si="15"/>
        <v>38858.407231810605</v>
      </c>
      <c r="H133" s="32">
        <f t="shared" si="15"/>
        <v>37630.382096652633</v>
      </c>
      <c r="I133" s="32">
        <f t="shared" si="15"/>
        <v>36402.356961494661</v>
      </c>
    </row>
    <row r="134" spans="1:9" s="31" customFormat="1" x14ac:dyDescent="0.2">
      <c r="A134" s="31" t="s">
        <v>53</v>
      </c>
      <c r="B134" s="38"/>
      <c r="C134" s="32">
        <f t="shared" si="14"/>
        <v>44935.867594703792</v>
      </c>
      <c r="E134" s="31" t="s">
        <v>53</v>
      </c>
      <c r="F134" s="34"/>
      <c r="G134" s="32">
        <f t="shared" si="15"/>
        <v>54266.653287260451</v>
      </c>
      <c r="H134" s="32">
        <f t="shared" si="15"/>
        <v>52555.790889784956</v>
      </c>
      <c r="I134" s="32">
        <f t="shared" si="15"/>
        <v>50844.928492309453</v>
      </c>
    </row>
    <row r="135" spans="1:9" s="31" customFormat="1" x14ac:dyDescent="0.2">
      <c r="A135" s="31" t="s">
        <v>54</v>
      </c>
      <c r="B135" s="38"/>
      <c r="C135" s="32">
        <f t="shared" si="14"/>
        <v>57380.752910116411</v>
      </c>
      <c r="E135" s="31" t="s">
        <v>54</v>
      </c>
      <c r="F135" s="34"/>
      <c r="G135" s="32">
        <f t="shared" si="15"/>
        <v>69164.009208479707</v>
      </c>
      <c r="H135" s="32">
        <f t="shared" si="15"/>
        <v>66987.237835629683</v>
      </c>
      <c r="I135" s="32">
        <f t="shared" si="15"/>
        <v>64810.466462779645</v>
      </c>
    </row>
    <row r="136" spans="1:9" s="31" customFormat="1" x14ac:dyDescent="0.2">
      <c r="A136" s="31" t="s">
        <v>55</v>
      </c>
      <c r="B136" s="38"/>
      <c r="C136" s="32">
        <f t="shared" si="14"/>
        <v>67574.347629905184</v>
      </c>
      <c r="E136" s="31" t="s">
        <v>55</v>
      </c>
      <c r="F136" s="34"/>
      <c r="G136" s="32">
        <f t="shared" si="15"/>
        <v>81215.578239883878</v>
      </c>
      <c r="H136" s="32">
        <f t="shared" si="15"/>
        <v>78666.24355572238</v>
      </c>
      <c r="I136" s="32">
        <f t="shared" si="15"/>
        <v>76116.908871560881</v>
      </c>
    </row>
    <row r="137" spans="1:9" s="31" customFormat="1" x14ac:dyDescent="0.2">
      <c r="A137" s="31" t="s">
        <v>59</v>
      </c>
      <c r="B137" s="38"/>
      <c r="C137" s="32">
        <f t="shared" si="14"/>
        <v>114734</v>
      </c>
      <c r="E137" s="31" t="s">
        <v>59</v>
      </c>
      <c r="F137" s="34"/>
      <c r="G137" s="32">
        <f t="shared" si="15"/>
        <v>136589.03205086448</v>
      </c>
      <c r="H137" s="32">
        <f t="shared" si="15"/>
        <v>132339.01602543224</v>
      </c>
      <c r="I137" s="32">
        <f t="shared" si="15"/>
        <v>128089</v>
      </c>
    </row>
    <row r="138" spans="1:9" s="31" customFormat="1" x14ac:dyDescent="0.2">
      <c r="B138" s="38"/>
      <c r="C138" s="38"/>
      <c r="F138" s="34"/>
      <c r="G138" s="45"/>
      <c r="H138" s="45"/>
      <c r="I138" s="56"/>
    </row>
    <row r="139" spans="1:9" s="31" customFormat="1" x14ac:dyDescent="0.2">
      <c r="A139" s="21" t="s">
        <v>60</v>
      </c>
      <c r="B139" s="38"/>
      <c r="C139" s="62"/>
      <c r="F139" s="34"/>
      <c r="G139" s="45"/>
      <c r="H139" s="45"/>
      <c r="I139" s="56"/>
    </row>
    <row r="140" spans="1:9" s="31" customFormat="1" x14ac:dyDescent="0.2">
      <c r="A140" s="21" t="s">
        <v>49</v>
      </c>
      <c r="B140" s="38"/>
      <c r="C140" s="62"/>
      <c r="F140" s="34"/>
      <c r="G140" s="45"/>
      <c r="H140" s="45"/>
      <c r="I140" s="56"/>
    </row>
    <row r="141" spans="1:9" s="31" customFormat="1" x14ac:dyDescent="0.2">
      <c r="A141" s="31" t="s">
        <v>50</v>
      </c>
      <c r="B141" s="38"/>
      <c r="C141" s="38">
        <f>C113/C119</f>
        <v>6.9651928511246172E-2</v>
      </c>
      <c r="D141" s="38">
        <v>7.4102203825364879E-2</v>
      </c>
      <c r="E141" s="38">
        <f>+C141-D141</f>
        <v>-4.4502753141187068E-3</v>
      </c>
      <c r="F141" s="43">
        <f t="shared" ref="F141:F146" si="16">+E141/C141</f>
        <v>-6.3893066699512197E-2</v>
      </c>
      <c r="G141" s="45"/>
      <c r="H141" s="45"/>
      <c r="I141" s="56"/>
    </row>
    <row r="142" spans="1:9" s="31" customFormat="1" x14ac:dyDescent="0.2">
      <c r="A142" s="31" t="s">
        <v>51</v>
      </c>
      <c r="B142" s="38"/>
      <c r="C142" s="38">
        <f>C114/C119</f>
        <v>0.16207827559527258</v>
      </c>
      <c r="D142" s="38">
        <v>0.16320459752655098</v>
      </c>
      <c r="E142" s="38">
        <f t="shared" ref="E142:E147" si="17">+C142-D142</f>
        <v>-1.1263219312784012E-3</v>
      </c>
      <c r="F142" s="43">
        <f t="shared" si="16"/>
        <v>-6.949246758343801E-3</v>
      </c>
      <c r="G142" s="45"/>
      <c r="H142" s="45"/>
      <c r="I142" s="56"/>
    </row>
    <row r="143" spans="1:9" s="31" customFormat="1" x14ac:dyDescent="0.2">
      <c r="A143" s="31" t="s">
        <v>52</v>
      </c>
      <c r="B143" s="38"/>
      <c r="C143" s="38">
        <f>C115/C119</f>
        <v>0.21175468943222953</v>
      </c>
      <c r="D143" s="38">
        <v>0.2138381498499981</v>
      </c>
      <c r="E143" s="38">
        <f t="shared" si="17"/>
        <v>-2.0834604177685789E-3</v>
      </c>
      <c r="F143" s="43">
        <f t="shared" si="16"/>
        <v>-9.8390284690029247E-3</v>
      </c>
      <c r="G143" s="45"/>
      <c r="H143" s="45"/>
      <c r="I143" s="56"/>
    </row>
    <row r="144" spans="1:9" s="31" customFormat="1" x14ac:dyDescent="0.2">
      <c r="A144" s="31" t="s">
        <v>53</v>
      </c>
      <c r="B144" s="38"/>
      <c r="C144" s="38">
        <f>C116/C119</f>
        <v>0.31148299126350615</v>
      </c>
      <c r="D144" s="38">
        <v>0.32830795326523121</v>
      </c>
      <c r="E144" s="38">
        <f t="shared" si="17"/>
        <v>-1.6824962001725063E-2</v>
      </c>
      <c r="F144" s="43">
        <f t="shared" si="16"/>
        <v>-5.4015668507214259E-2</v>
      </c>
      <c r="G144" s="45"/>
      <c r="H144" s="45"/>
      <c r="I144" s="56"/>
    </row>
    <row r="145" spans="1:9" s="31" customFormat="1" x14ac:dyDescent="0.2">
      <c r="A145" s="31" t="s">
        <v>54</v>
      </c>
      <c r="B145" s="38"/>
      <c r="C145" s="38">
        <f>C117/C119</f>
        <v>0.41143495649450418</v>
      </c>
      <c r="D145" s="38">
        <v>0.45137280218736947</v>
      </c>
      <c r="E145" s="38">
        <f t="shared" si="17"/>
        <v>-3.9937845692865293E-2</v>
      </c>
      <c r="F145" s="43">
        <f t="shared" si="16"/>
        <v>-9.7069646276880639E-2</v>
      </c>
      <c r="G145" s="45"/>
      <c r="H145" s="45"/>
      <c r="I145" s="56"/>
    </row>
    <row r="146" spans="1:9" s="31" customFormat="1" x14ac:dyDescent="0.2">
      <c r="A146" s="31" t="s">
        <v>55</v>
      </c>
      <c r="B146" s="38"/>
      <c r="C146" s="38">
        <f>C118/C119</f>
        <v>0.50898610902595565</v>
      </c>
      <c r="D146" s="38">
        <v>0.57548829732021922</v>
      </c>
      <c r="E146" s="38">
        <f t="shared" si="17"/>
        <v>-6.6502188294263576E-2</v>
      </c>
      <c r="F146" s="43">
        <f t="shared" si="16"/>
        <v>-0.13065619496282227</v>
      </c>
      <c r="G146" s="45"/>
      <c r="H146" s="45"/>
      <c r="I146" s="56"/>
    </row>
    <row r="147" spans="1:9" s="31" customFormat="1" x14ac:dyDescent="0.2">
      <c r="A147" s="31" t="s">
        <v>56</v>
      </c>
      <c r="B147" s="38"/>
      <c r="C147" s="38">
        <f>C119/C119</f>
        <v>1</v>
      </c>
      <c r="D147" s="38">
        <v>1</v>
      </c>
      <c r="E147" s="38">
        <f t="shared" si="17"/>
        <v>0</v>
      </c>
      <c r="F147" s="37"/>
      <c r="G147" s="45"/>
      <c r="H147" s="45"/>
      <c r="I147" s="56"/>
    </row>
    <row r="148" spans="1:9" s="31" customFormat="1" x14ac:dyDescent="0.2">
      <c r="B148" s="38"/>
      <c r="C148" s="38"/>
      <c r="D148" s="38"/>
      <c r="F148" s="37"/>
      <c r="G148" s="45"/>
      <c r="H148" s="45"/>
      <c r="I148" s="56"/>
    </row>
    <row r="149" spans="1:9" s="31" customFormat="1" x14ac:dyDescent="0.2">
      <c r="A149" s="21" t="s">
        <v>0</v>
      </c>
      <c r="B149" s="38"/>
      <c r="C149" s="38"/>
      <c r="D149" s="38"/>
      <c r="F149" s="37"/>
      <c r="G149" s="45"/>
      <c r="H149" s="45"/>
      <c r="I149" s="56"/>
    </row>
    <row r="150" spans="1:9" s="31" customFormat="1" x14ac:dyDescent="0.2">
      <c r="A150" s="31" t="s">
        <v>50</v>
      </c>
      <c r="B150" s="38"/>
      <c r="C150" s="38">
        <f>C122/C128</f>
        <v>0.25271859931967272</v>
      </c>
      <c r="D150" s="38">
        <v>0.21746964355660009</v>
      </c>
      <c r="E150" s="38">
        <f>+C150-D150</f>
        <v>3.5248955763072631E-2</v>
      </c>
      <c r="F150" s="43">
        <f t="shared" ref="F150:F155" si="18">+E150/C150</f>
        <v>0.13947907220902636</v>
      </c>
      <c r="G150" s="45"/>
      <c r="H150" s="45"/>
      <c r="I150" s="56"/>
    </row>
    <row r="151" spans="1:9" s="31" customFormat="1" x14ac:dyDescent="0.2">
      <c r="A151" s="31" t="s">
        <v>51</v>
      </c>
      <c r="B151" s="38"/>
      <c r="C151" s="38">
        <f>C123/C128</f>
        <v>0.42976196952772261</v>
      </c>
      <c r="D151" s="38">
        <v>0.39980415197806501</v>
      </c>
      <c r="E151" s="38">
        <f t="shared" ref="E151:E156" si="19">+C151-D151</f>
        <v>2.9957817549657595E-2</v>
      </c>
      <c r="F151" s="43">
        <f t="shared" si="18"/>
        <v>6.9707930607678187E-2</v>
      </c>
      <c r="G151" s="45"/>
      <c r="H151" s="45"/>
      <c r="I151" s="56"/>
    </row>
    <row r="152" spans="1:9" s="31" customFormat="1" x14ac:dyDescent="0.2">
      <c r="A152" s="31" t="s">
        <v>52</v>
      </c>
      <c r="B152" s="38"/>
      <c r="C152" s="38">
        <f>C124/C128</f>
        <v>0.52226522764413907</v>
      </c>
      <c r="D152" s="38">
        <v>0.4880532706619663</v>
      </c>
      <c r="E152" s="38">
        <f t="shared" si="19"/>
        <v>3.4211956982172775E-2</v>
      </c>
      <c r="F152" s="43">
        <f t="shared" si="18"/>
        <v>6.5506863507834578E-2</v>
      </c>
      <c r="G152" s="45"/>
      <c r="H152" s="45"/>
      <c r="I152" s="56"/>
    </row>
    <row r="153" spans="1:9" s="31" customFormat="1" x14ac:dyDescent="0.2">
      <c r="A153" s="31" t="s">
        <v>53</v>
      </c>
      <c r="B153" s="38"/>
      <c r="C153" s="38">
        <f>C125/C128</f>
        <v>0.67782750596307106</v>
      </c>
      <c r="D153" s="38">
        <v>0.64864864864864868</v>
      </c>
      <c r="E153" s="38">
        <f t="shared" si="19"/>
        <v>2.917885731442238E-2</v>
      </c>
      <c r="F153" s="43">
        <f t="shared" si="18"/>
        <v>4.3047614706878068E-2</v>
      </c>
      <c r="G153" s="45"/>
      <c r="H153" s="45"/>
      <c r="I153" s="56"/>
    </row>
    <row r="154" spans="1:9" s="31" customFormat="1" x14ac:dyDescent="0.2">
      <c r="A154" s="31" t="s">
        <v>54</v>
      </c>
      <c r="B154" s="38"/>
      <c r="C154" s="38">
        <f>C126/C128</f>
        <v>0.81669123384339548</v>
      </c>
      <c r="D154" s="38">
        <v>0.75992949471210336</v>
      </c>
      <c r="E154" s="38">
        <f t="shared" si="19"/>
        <v>5.6761739131292122E-2</v>
      </c>
      <c r="F154" s="43">
        <f t="shared" si="18"/>
        <v>6.9502079585412158E-2</v>
      </c>
      <c r="G154" s="45"/>
      <c r="H154" s="45"/>
      <c r="I154" s="56"/>
    </row>
    <row r="155" spans="1:9" s="31" customFormat="1" x14ac:dyDescent="0.2">
      <c r="A155" s="31" t="s">
        <v>55</v>
      </c>
      <c r="B155" s="38"/>
      <c r="C155" s="38">
        <f>C127/C128</f>
        <v>0.87446067477875156</v>
      </c>
      <c r="D155" s="38">
        <v>0.85996866431649044</v>
      </c>
      <c r="E155" s="38">
        <f t="shared" si="19"/>
        <v>1.4492010462261118E-2</v>
      </c>
      <c r="F155" s="43">
        <f t="shared" si="18"/>
        <v>1.6572512498549762E-2</v>
      </c>
      <c r="G155" s="45"/>
      <c r="H155" s="45"/>
      <c r="I155" s="56"/>
    </row>
    <row r="156" spans="1:9" s="31" customFormat="1" x14ac:dyDescent="0.2">
      <c r="A156" s="31" t="s">
        <v>57</v>
      </c>
      <c r="B156" s="38"/>
      <c r="C156" s="38">
        <f>C128/C128</f>
        <v>1</v>
      </c>
      <c r="D156" s="38">
        <v>1</v>
      </c>
      <c r="E156" s="38">
        <f t="shared" si="19"/>
        <v>0</v>
      </c>
      <c r="F156" s="37"/>
      <c r="G156" s="45"/>
      <c r="H156" s="45"/>
      <c r="I156" s="56"/>
    </row>
    <row r="157" spans="1:9" s="31" customFormat="1" x14ac:dyDescent="0.2">
      <c r="B157" s="38"/>
      <c r="C157" s="38"/>
      <c r="D157" s="38"/>
      <c r="F157" s="37"/>
      <c r="G157" s="45"/>
      <c r="H157" s="45"/>
      <c r="I157" s="56"/>
    </row>
    <row r="158" spans="1:9" s="31" customFormat="1" x14ac:dyDescent="0.2">
      <c r="A158" s="21" t="s">
        <v>58</v>
      </c>
      <c r="B158" s="38"/>
      <c r="C158" s="38"/>
      <c r="D158" s="38"/>
      <c r="F158" s="37"/>
      <c r="G158" s="45"/>
      <c r="H158" s="45"/>
      <c r="I158" s="56"/>
    </row>
    <row r="159" spans="1:9" s="31" customFormat="1" x14ac:dyDescent="0.2">
      <c r="A159" s="31" t="s">
        <v>50</v>
      </c>
      <c r="B159" s="38"/>
      <c r="C159" s="38">
        <f>C131/C137</f>
        <v>0.10971361877444605</v>
      </c>
      <c r="D159" s="38">
        <v>0.1091180437964584</v>
      </c>
      <c r="E159" s="38">
        <f>+C159-D159</f>
        <v>5.9557497798765069E-4</v>
      </c>
      <c r="F159" s="43">
        <f t="shared" ref="F159:F164" si="20">+E159/C159</f>
        <v>5.4284507670106039E-3</v>
      </c>
      <c r="G159" s="45"/>
      <c r="H159" s="45"/>
      <c r="I159" s="56"/>
    </row>
    <row r="160" spans="1:9" s="31" customFormat="1" x14ac:dyDescent="0.2">
      <c r="A160" s="31" t="s">
        <v>51</v>
      </c>
      <c r="B160" s="38"/>
      <c r="C160" s="38">
        <f>C132/C137</f>
        <v>0.22065726863356946</v>
      </c>
      <c r="D160" s="38">
        <v>0.2209913038486927</v>
      </c>
      <c r="E160" s="38">
        <f t="shared" ref="E160:E165" si="21">+C160-D160</f>
        <v>-3.3403521512323509E-4</v>
      </c>
      <c r="F160" s="43">
        <f t="shared" si="20"/>
        <v>-1.5138192237752416E-3</v>
      </c>
      <c r="G160" s="45"/>
      <c r="H160" s="45"/>
      <c r="I160" s="56"/>
    </row>
    <row r="161" spans="1:9" s="31" customFormat="1" x14ac:dyDescent="0.2">
      <c r="A161" s="31" t="s">
        <v>52</v>
      </c>
      <c r="B161" s="38"/>
      <c r="C161" s="38">
        <f>C133/C137</f>
        <v>0.27970576403456732</v>
      </c>
      <c r="D161" s="38">
        <v>0.28081202345760509</v>
      </c>
      <c r="E161" s="38">
        <f t="shared" si="21"/>
        <v>-1.1062594230377698E-3</v>
      </c>
      <c r="F161" s="43">
        <f t="shared" si="20"/>
        <v>-3.9550826807453754E-3</v>
      </c>
      <c r="G161" s="45"/>
      <c r="H161" s="45"/>
      <c r="I161" s="56"/>
    </row>
    <row r="162" spans="1:9" s="31" customFormat="1" x14ac:dyDescent="0.2">
      <c r="A162" s="31" t="s">
        <v>53</v>
      </c>
      <c r="B162" s="38"/>
      <c r="C162" s="38">
        <f>C134/C137</f>
        <v>0.39165258419216442</v>
      </c>
      <c r="D162" s="38">
        <v>0.40654746529671193</v>
      </c>
      <c r="E162" s="38">
        <f t="shared" si="21"/>
        <v>-1.4894881104547508E-2</v>
      </c>
      <c r="F162" s="43">
        <f t="shared" si="20"/>
        <v>-3.8030851080097385E-2</v>
      </c>
      <c r="G162" s="45"/>
      <c r="H162" s="45"/>
      <c r="I162" s="56"/>
    </row>
    <row r="163" spans="1:9" s="31" customFormat="1" x14ac:dyDescent="0.2">
      <c r="A163" s="31" t="s">
        <v>54</v>
      </c>
      <c r="B163" s="38"/>
      <c r="C163" s="38">
        <f>C135/C137</f>
        <v>0.50011986778214312</v>
      </c>
      <c r="D163" s="38">
        <v>0.52673420773182567</v>
      </c>
      <c r="E163" s="38">
        <f t="shared" si="21"/>
        <v>-2.6614339949682542E-2</v>
      </c>
      <c r="F163" s="43">
        <f t="shared" si="20"/>
        <v>-5.3215922150239382E-2</v>
      </c>
      <c r="G163" s="45"/>
      <c r="H163" s="45"/>
      <c r="I163" s="56"/>
    </row>
    <row r="164" spans="1:9" s="31" customFormat="1" x14ac:dyDescent="0.2">
      <c r="A164" s="31" t="s">
        <v>55</v>
      </c>
      <c r="B164" s="38"/>
      <c r="C164" s="38">
        <f>C136/C137</f>
        <v>0.58896532527328593</v>
      </c>
      <c r="D164" s="38">
        <v>0.64496933865243133</v>
      </c>
      <c r="E164" s="38">
        <f t="shared" si="21"/>
        <v>-5.6004013379145401E-2</v>
      </c>
      <c r="F164" s="43">
        <f t="shared" si="20"/>
        <v>-9.5088812491905136E-2</v>
      </c>
      <c r="G164" s="45"/>
      <c r="H164" s="45"/>
      <c r="I164" s="56"/>
    </row>
    <row r="165" spans="1:9" s="31" customFormat="1" x14ac:dyDescent="0.2">
      <c r="A165" s="31" t="s">
        <v>59</v>
      </c>
      <c r="B165" s="38"/>
      <c r="C165" s="38">
        <f>C137/C137</f>
        <v>1</v>
      </c>
      <c r="D165" s="38">
        <v>1</v>
      </c>
      <c r="E165" s="38">
        <f t="shared" si="21"/>
        <v>0</v>
      </c>
      <c r="F165" s="34"/>
      <c r="G165" s="45"/>
      <c r="H165" s="45"/>
      <c r="I165" s="56"/>
    </row>
    <row r="166" spans="1:9" s="31" customFormat="1" x14ac:dyDescent="0.2">
      <c r="B166" s="38"/>
      <c r="C166" s="38"/>
      <c r="F166" s="34"/>
      <c r="G166" s="45"/>
      <c r="H166" s="45"/>
      <c r="I166" s="56"/>
    </row>
  </sheetData>
  <mergeCells count="1">
    <mergeCell ref="I2:I21"/>
  </mergeCells>
  <phoneticPr fontId="0" type="noConversion"/>
  <printOptions horizontalCentered="1" verticalCentered="1"/>
  <pageMargins left="0.75" right="0.75" top="0.75" bottom="0.75" header="0.5" footer="0.5"/>
  <pageSetup scale="70" orientation="landscape" horizontalDpi="4294967293" verticalDpi="300" r:id="rId1"/>
  <headerFooter alignWithMargins="0">
    <oddFooter>&amp;R&amp;P of &amp;N</oddFooter>
  </headerFooter>
  <rowBreaks count="4" manualBreakCount="4">
    <brk id="43" max="8" man="1"/>
    <brk id="77" max="8" man="1"/>
    <brk id="108" max="16383" man="1"/>
    <brk id="13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9"/>
  <sheetViews>
    <sheetView zoomScaleNormal="100" workbookViewId="0">
      <selection activeCell="H150" sqref="H150:H160"/>
    </sheetView>
  </sheetViews>
  <sheetFormatPr defaultRowHeight="12.75" x14ac:dyDescent="0.2"/>
  <cols>
    <col min="1" max="1" width="55.7109375" customWidth="1"/>
    <col min="2" max="2" width="10.42578125" bestFit="1" customWidth="1"/>
    <col min="4" max="6" width="11.7109375" customWidth="1"/>
    <col min="7" max="9" width="15.7109375" customWidth="1"/>
    <col min="10" max="10" width="12.7109375" customWidth="1"/>
  </cols>
  <sheetData>
    <row r="1" spans="1:9" ht="78.75" x14ac:dyDescent="0.2">
      <c r="A1" s="171" t="s">
        <v>22</v>
      </c>
      <c r="B1" s="172">
        <v>1990</v>
      </c>
      <c r="C1" s="172">
        <v>2000</v>
      </c>
      <c r="D1" s="138" t="s">
        <v>80</v>
      </c>
      <c r="E1" s="137">
        <v>2010</v>
      </c>
      <c r="F1" s="138" t="s">
        <v>182</v>
      </c>
      <c r="G1" s="137" t="s">
        <v>183</v>
      </c>
      <c r="H1" s="137" t="s">
        <v>213</v>
      </c>
      <c r="I1" s="173" t="s">
        <v>184</v>
      </c>
    </row>
    <row r="2" spans="1:9" s="31" customFormat="1" ht="12.75" customHeight="1" x14ac:dyDescent="0.2">
      <c r="A2" s="37" t="s">
        <v>28</v>
      </c>
      <c r="B2" s="40">
        <v>29023</v>
      </c>
      <c r="C2" s="40">
        <v>34571</v>
      </c>
      <c r="D2" s="40">
        <f>C2-B2</f>
        <v>5548</v>
      </c>
      <c r="E2" s="217">
        <v>34793</v>
      </c>
      <c r="F2" s="70">
        <f>E2-C2</f>
        <v>222</v>
      </c>
      <c r="G2" s="37" t="s">
        <v>196</v>
      </c>
      <c r="H2" s="37"/>
      <c r="I2" s="250" t="s">
        <v>170</v>
      </c>
    </row>
    <row r="3" spans="1:9" s="31" customFormat="1" x14ac:dyDescent="0.2">
      <c r="A3" s="37" t="s">
        <v>33</v>
      </c>
      <c r="B3" s="43">
        <f>B2/'STATE TOTALS'!$B$2</f>
        <v>6.7495191871646806E-2</v>
      </c>
      <c r="C3" s="43">
        <f>C2/'STATE TOTALS'!$C$2</f>
        <v>6.5289402912914726E-2</v>
      </c>
      <c r="D3" s="43">
        <f>D2/'STATE TOTALS'!$D$2</f>
        <v>5.5757112850868817E-2</v>
      </c>
      <c r="E3" s="43">
        <f>E2/'STATE TOTALS'!$E$2</f>
        <v>6.7771750245916806E-2</v>
      </c>
      <c r="F3" s="43">
        <f>F2/'STATE TOTALS'!$F$2</f>
        <v>-1.3772566536385632E-2</v>
      </c>
      <c r="G3" s="37" t="s">
        <v>40</v>
      </c>
      <c r="H3" s="37"/>
      <c r="I3" s="251"/>
    </row>
    <row r="4" spans="1:9" s="31" customFormat="1" x14ac:dyDescent="0.2">
      <c r="A4" s="37" t="s">
        <v>29</v>
      </c>
      <c r="B4" s="139">
        <v>8190</v>
      </c>
      <c r="C4" s="40">
        <v>8613</v>
      </c>
      <c r="D4" s="40">
        <f>C4-B4</f>
        <v>423</v>
      </c>
      <c r="E4" s="40">
        <f>E5-E2</f>
        <v>9351</v>
      </c>
      <c r="F4" s="40">
        <f>E4-C4</f>
        <v>738</v>
      </c>
      <c r="G4" s="166" t="s">
        <v>188</v>
      </c>
      <c r="H4" s="166" t="s">
        <v>34</v>
      </c>
      <c r="I4" s="251"/>
    </row>
    <row r="5" spans="1:9" s="31" customFormat="1" x14ac:dyDescent="0.2">
      <c r="A5" s="37" t="s">
        <v>30</v>
      </c>
      <c r="B5" s="139">
        <v>37212</v>
      </c>
      <c r="C5" s="40">
        <v>43184</v>
      </c>
      <c r="D5" s="40">
        <f>C5-B5</f>
        <v>5972</v>
      </c>
      <c r="E5" s="217">
        <v>44144</v>
      </c>
      <c r="F5" s="70">
        <f>E5-C5</f>
        <v>960</v>
      </c>
      <c r="G5" s="217">
        <v>48973</v>
      </c>
      <c r="H5" s="194">
        <f>(E5-B5)/('STATE TOTALS'!E5-'STATE TOTALS'!B5)*('STATE TOTALS'!G5-'STATE TOTALS'!E5)+E5</f>
        <v>48116.920073889283</v>
      </c>
      <c r="I5" s="251"/>
    </row>
    <row r="6" spans="1:9" s="31" customFormat="1" x14ac:dyDescent="0.2">
      <c r="A6" s="37" t="s">
        <v>33</v>
      </c>
      <c r="B6" s="43">
        <f>B5/'STATE TOTALS'!$B$5</f>
        <v>7.5110206849779593E-2</v>
      </c>
      <c r="C6" s="43">
        <f>C5/'STATE TOTALS'!$C$5</f>
        <v>7.1274722263942922E-2</v>
      </c>
      <c r="D6" s="43">
        <f>D5/'STATE TOTALS'!$D$5</f>
        <v>5.4070204347707991E-2</v>
      </c>
      <c r="E6" s="43">
        <f>E5/'STATE TOTALS'!$E$5</f>
        <v>7.3517704936597969E-2</v>
      </c>
      <c r="F6" s="43">
        <f>F5/'STATE TOTALS'!$F$5</f>
        <v>-0.17689331122166943</v>
      </c>
      <c r="G6" s="37"/>
      <c r="H6" s="37"/>
      <c r="I6" s="251"/>
    </row>
    <row r="7" spans="1:9" s="31" customFormat="1" x14ac:dyDescent="0.2">
      <c r="A7" s="37"/>
      <c r="B7" s="41"/>
      <c r="C7" s="41"/>
      <c r="D7" s="41"/>
      <c r="E7" s="141"/>
      <c r="F7" s="37"/>
      <c r="G7" s="37"/>
      <c r="H7" s="37"/>
      <c r="I7" s="251"/>
    </row>
    <row r="8" spans="1:9" s="31" customFormat="1" x14ac:dyDescent="0.2">
      <c r="A8" s="37" t="s">
        <v>92</v>
      </c>
      <c r="B8" s="139">
        <v>57148</v>
      </c>
      <c r="C8" s="40">
        <v>62384</v>
      </c>
      <c r="D8" s="40">
        <f>C8-B8</f>
        <v>5236</v>
      </c>
      <c r="E8" s="217">
        <v>69520</v>
      </c>
      <c r="F8" s="70">
        <f>E8-C8</f>
        <v>7136</v>
      </c>
      <c r="G8" s="40">
        <f>G5*G9</f>
        <v>70746.842163764348</v>
      </c>
      <c r="H8" s="40">
        <f>H5*H9</f>
        <v>69510.141299775583</v>
      </c>
      <c r="I8" s="251"/>
    </row>
    <row r="9" spans="1:9" s="31" customFormat="1" x14ac:dyDescent="0.2">
      <c r="A9" s="37" t="s">
        <v>173</v>
      </c>
      <c r="B9" s="191">
        <f>B8/B5</f>
        <v>1.5357411587659895</v>
      </c>
      <c r="C9" s="191">
        <f>C8/C5</f>
        <v>1.4446091144868469</v>
      </c>
      <c r="D9" s="191"/>
      <c r="E9" s="198">
        <f>E8/E5</f>
        <v>1.5748459586806813</v>
      </c>
      <c r="F9" s="199" t="s">
        <v>45</v>
      </c>
      <c r="G9" s="200">
        <f>+C9</f>
        <v>1.4446091144868469</v>
      </c>
      <c r="H9" s="201">
        <f>G9</f>
        <v>1.4446091144868469</v>
      </c>
      <c r="I9" s="251"/>
    </row>
    <row r="10" spans="1:9" s="31" customFormat="1" x14ac:dyDescent="0.2">
      <c r="A10" s="37"/>
      <c r="B10" s="41"/>
      <c r="C10" s="41"/>
      <c r="D10" s="41"/>
      <c r="E10" s="141"/>
      <c r="F10" s="37"/>
      <c r="G10" s="37" t="s">
        <v>226</v>
      </c>
      <c r="H10" s="37"/>
      <c r="I10" s="251"/>
    </row>
    <row r="11" spans="1:9" s="31" customFormat="1" x14ac:dyDescent="0.2">
      <c r="A11" s="37" t="s">
        <v>123</v>
      </c>
      <c r="B11" s="149">
        <f>B13/B8</f>
        <v>0.91927976482116613</v>
      </c>
      <c r="C11" s="149">
        <f>C13/C8</f>
        <v>0.93618556040010259</v>
      </c>
      <c r="D11" s="41"/>
      <c r="E11" s="200">
        <f>E13/E8</f>
        <v>0.90986766398158803</v>
      </c>
      <c r="F11" s="202" t="s">
        <v>45</v>
      </c>
      <c r="G11" s="200">
        <f>E11</f>
        <v>0.90986766398158803</v>
      </c>
      <c r="H11" s="201">
        <f>G11</f>
        <v>0.90986766398158803</v>
      </c>
      <c r="I11" s="251"/>
    </row>
    <row r="12" spans="1:9" s="31" customFormat="1" x14ac:dyDescent="0.2">
      <c r="A12" s="37"/>
      <c r="B12" s="41"/>
      <c r="C12" s="41"/>
      <c r="D12" s="41"/>
      <c r="E12" s="141"/>
      <c r="F12" s="37"/>
      <c r="G12" s="37"/>
      <c r="H12" s="37"/>
      <c r="I12" s="251"/>
    </row>
    <row r="13" spans="1:9" s="31" customFormat="1" x14ac:dyDescent="0.2">
      <c r="A13" s="37" t="s">
        <v>124</v>
      </c>
      <c r="B13" s="139">
        <v>52535</v>
      </c>
      <c r="C13" s="139">
        <v>58403</v>
      </c>
      <c r="D13" s="40">
        <f>C13-B13</f>
        <v>5868</v>
      </c>
      <c r="E13" s="217">
        <v>63254</v>
      </c>
      <c r="F13" s="70">
        <f>E13-C13</f>
        <v>4851</v>
      </c>
      <c r="G13" s="40">
        <f>G11*G8</f>
        <v>64370.264013618384</v>
      </c>
      <c r="H13" s="40">
        <f>H11*H8</f>
        <v>63245.029887456913</v>
      </c>
      <c r="I13" s="251"/>
    </row>
    <row r="14" spans="1:9" s="31" customFormat="1" x14ac:dyDescent="0.2">
      <c r="A14" s="37" t="s">
        <v>25</v>
      </c>
      <c r="B14" s="139">
        <v>32488</v>
      </c>
      <c r="C14" s="139">
        <v>34364</v>
      </c>
      <c r="D14" s="40">
        <f>C14-B14</f>
        <v>1876</v>
      </c>
      <c r="E14" s="40">
        <v>36532</v>
      </c>
      <c r="F14" s="70">
        <f>E14-C14</f>
        <v>2168</v>
      </c>
      <c r="G14" s="40">
        <f>G13-G15</f>
        <v>37176.69214508975</v>
      </c>
      <c r="H14" s="40">
        <f>H13-H15</f>
        <v>36526.819360808426</v>
      </c>
      <c r="I14" s="251"/>
    </row>
    <row r="15" spans="1:9" s="31" customFormat="1" x14ac:dyDescent="0.2">
      <c r="A15" s="37" t="s">
        <v>26</v>
      </c>
      <c r="B15" s="139">
        <f>B13-B14</f>
        <v>20047</v>
      </c>
      <c r="C15" s="139">
        <f>C13-C14</f>
        <v>24039</v>
      </c>
      <c r="D15" s="40">
        <f>C15-B15</f>
        <v>3992</v>
      </c>
      <c r="E15" s="139">
        <f>E13-E14</f>
        <v>26722</v>
      </c>
      <c r="F15" s="70">
        <f>E15-C15</f>
        <v>2683</v>
      </c>
      <c r="G15" s="40">
        <f>G16*G13</f>
        <v>27193.571868528637</v>
      </c>
      <c r="H15" s="40">
        <f>H16*H13</f>
        <v>26718.21052664849</v>
      </c>
      <c r="I15" s="251"/>
    </row>
    <row r="16" spans="1:9" s="31" customFormat="1" x14ac:dyDescent="0.2">
      <c r="A16" s="37" t="s">
        <v>27</v>
      </c>
      <c r="B16" s="43">
        <f>B15/B13</f>
        <v>0.38159322356524222</v>
      </c>
      <c r="C16" s="43">
        <f>C15/C13</f>
        <v>0.41160556820711264</v>
      </c>
      <c r="D16" s="37"/>
      <c r="E16" s="204">
        <f>E15/E13</f>
        <v>0.42245549688557243</v>
      </c>
      <c r="F16" s="202" t="s">
        <v>45</v>
      </c>
      <c r="G16" s="203">
        <f>E16</f>
        <v>0.42245549688557243</v>
      </c>
      <c r="H16" s="204">
        <f>G16</f>
        <v>0.42245549688557243</v>
      </c>
      <c r="I16" s="251"/>
    </row>
    <row r="17" spans="1:9" s="31" customFormat="1" x14ac:dyDescent="0.2">
      <c r="A17" s="37"/>
      <c r="B17" s="41"/>
      <c r="C17" s="41"/>
      <c r="D17" s="41"/>
      <c r="E17" s="141"/>
      <c r="F17" s="37"/>
      <c r="G17" s="37"/>
      <c r="H17" s="37"/>
      <c r="I17" s="251"/>
    </row>
    <row r="18" spans="1:9" s="31" customFormat="1" x14ac:dyDescent="0.2">
      <c r="A18" s="37" t="s">
        <v>31</v>
      </c>
      <c r="B18" s="41">
        <f>B2/B55</f>
        <v>0.76894340822382368</v>
      </c>
      <c r="C18" s="41">
        <f>C2/C55</f>
        <v>0.8118879312369367</v>
      </c>
      <c r="D18" s="41"/>
      <c r="E18" s="41">
        <f>E2/E55</f>
        <v>0.7387048832271762</v>
      </c>
      <c r="F18" s="37"/>
      <c r="G18" s="41"/>
      <c r="H18" s="41"/>
      <c r="I18" s="251"/>
    </row>
    <row r="19" spans="1:9" s="31" customFormat="1" x14ac:dyDescent="0.2">
      <c r="A19" s="37"/>
      <c r="B19" s="40"/>
      <c r="C19" s="40"/>
      <c r="D19" s="37"/>
      <c r="E19" s="37"/>
      <c r="F19" s="37"/>
      <c r="G19" s="37"/>
      <c r="H19" s="37"/>
      <c r="I19" s="251"/>
    </row>
    <row r="20" spans="1:9" s="31" customFormat="1" x14ac:dyDescent="0.2">
      <c r="A20" s="37" t="s">
        <v>128</v>
      </c>
      <c r="B20" s="41">
        <f>B24/B8</f>
        <v>1.6300482956533913</v>
      </c>
      <c r="C20" s="41">
        <f>C24/C8</f>
        <v>1.5972044113875352</v>
      </c>
      <c r="D20" s="37"/>
      <c r="E20" s="41">
        <f>E24/E8</f>
        <v>1.5606731875719217</v>
      </c>
      <c r="F20" s="140" t="s">
        <v>46</v>
      </c>
      <c r="G20" s="205">
        <f>+E20</f>
        <v>1.5606731875719217</v>
      </c>
      <c r="H20" s="41">
        <f>H24/H8</f>
        <v>1.5555866359645274</v>
      </c>
      <c r="I20" s="251"/>
    </row>
    <row r="21" spans="1:9" s="31" customFormat="1" x14ac:dyDescent="0.2">
      <c r="A21" s="37" t="s">
        <v>94</v>
      </c>
      <c r="B21" s="41">
        <f>B29/B8</f>
        <v>0.53868901798838109</v>
      </c>
      <c r="C21" s="41">
        <f>C29/C8</f>
        <v>0.55696973582969989</v>
      </c>
      <c r="D21" s="37"/>
      <c r="E21" s="205">
        <f>E29/E8</f>
        <v>0.54231875719217493</v>
      </c>
      <c r="F21" s="202" t="s">
        <v>45</v>
      </c>
      <c r="G21" s="205">
        <f>AVERAGE(B21:E21)</f>
        <v>0.54599250367008534</v>
      </c>
      <c r="H21" s="206">
        <f>G21</f>
        <v>0.54599250367008534</v>
      </c>
      <c r="I21" s="252"/>
    </row>
    <row r="22" spans="1:9" s="31" customFormat="1" x14ac:dyDescent="0.2">
      <c r="A22" s="37"/>
      <c r="B22" s="37"/>
      <c r="C22" s="37"/>
      <c r="D22" s="37"/>
      <c r="E22" s="37"/>
      <c r="F22" s="37"/>
      <c r="G22" s="37"/>
      <c r="H22" s="37"/>
      <c r="I22" s="161"/>
    </row>
    <row r="23" spans="1:9" s="31" customFormat="1" x14ac:dyDescent="0.2">
      <c r="A23" s="64" t="s">
        <v>98</v>
      </c>
      <c r="B23" s="41"/>
      <c r="C23" s="41"/>
      <c r="D23" s="37"/>
      <c r="E23" s="37"/>
      <c r="F23" s="37"/>
      <c r="G23" s="37"/>
      <c r="H23" s="37"/>
      <c r="I23" s="159"/>
    </row>
    <row r="24" spans="1:9" s="31" customFormat="1" x14ac:dyDescent="0.2">
      <c r="A24" s="37" t="s">
        <v>99</v>
      </c>
      <c r="B24" s="40">
        <v>93154</v>
      </c>
      <c r="C24" s="40">
        <v>99640</v>
      </c>
      <c r="D24" s="40">
        <f>C24-B24</f>
        <v>6486</v>
      </c>
      <c r="E24" s="217">
        <f>100610+7888</f>
        <v>108498</v>
      </c>
      <c r="F24" s="70">
        <f>E24-C24</f>
        <v>8858</v>
      </c>
      <c r="G24" s="40">
        <f>+G20*G8</f>
        <v>110412.69967036974</v>
      </c>
      <c r="H24" s="40">
        <f>H25+H26</f>
        <v>108129.04686993686</v>
      </c>
      <c r="I24" s="217">
        <f>99492+7889</f>
        <v>107381</v>
      </c>
    </row>
    <row r="25" spans="1:9" s="31" customFormat="1" x14ac:dyDescent="0.2">
      <c r="A25" s="37" t="s">
        <v>97</v>
      </c>
      <c r="B25" s="40">
        <v>5769</v>
      </c>
      <c r="C25" s="40">
        <v>4979</v>
      </c>
      <c r="D25" s="40">
        <f>C25-B25</f>
        <v>-790</v>
      </c>
      <c r="E25" s="217">
        <v>7888</v>
      </c>
      <c r="F25" s="70">
        <f>E25-C25</f>
        <v>2909</v>
      </c>
      <c r="G25" s="207">
        <f>I25</f>
        <v>7889</v>
      </c>
      <c r="H25" s="207">
        <f>I25</f>
        <v>7889</v>
      </c>
      <c r="I25" s="217">
        <v>7889</v>
      </c>
    </row>
    <row r="26" spans="1:9" s="31" customFormat="1" x14ac:dyDescent="0.2">
      <c r="A26" s="37" t="s">
        <v>95</v>
      </c>
      <c r="B26" s="40">
        <f>B24-B25</f>
        <v>87385</v>
      </c>
      <c r="C26" s="40">
        <f>C24-C25</f>
        <v>94661</v>
      </c>
      <c r="D26" s="40">
        <f>C26-B26</f>
        <v>7276</v>
      </c>
      <c r="E26" s="40">
        <f>E24-E25</f>
        <v>100610</v>
      </c>
      <c r="F26" s="70">
        <f>E26-C26</f>
        <v>5949</v>
      </c>
      <c r="G26" s="40">
        <f>G24-G25</f>
        <v>102523.69967036974</v>
      </c>
      <c r="H26" s="154">
        <f>H29*H27</f>
        <v>100240.04686993686</v>
      </c>
      <c r="I26" s="154">
        <f>I24-I25</f>
        <v>99492</v>
      </c>
    </row>
    <row r="27" spans="1:9" s="31" customFormat="1" x14ac:dyDescent="0.2">
      <c r="A27" s="37" t="s">
        <v>111</v>
      </c>
      <c r="B27" s="142">
        <f>B26/B29</f>
        <v>2.8385577391586811</v>
      </c>
      <c r="C27" s="142">
        <f>C26/C29</f>
        <v>2.7243711506360446</v>
      </c>
      <c r="D27" s="41"/>
      <c r="E27" s="142">
        <f>E26/E29</f>
        <v>2.6685586971513446</v>
      </c>
      <c r="F27" s="37"/>
      <c r="G27" s="142">
        <f>G26/G29</f>
        <v>2.6541809646801604</v>
      </c>
      <c r="H27" s="208">
        <f>I27</f>
        <v>2.6144264879779269</v>
      </c>
      <c r="I27" s="208">
        <f>I26/I29</f>
        <v>2.6144264879779269</v>
      </c>
    </row>
    <row r="28" spans="1:9" s="31" customFormat="1" x14ac:dyDescent="0.2">
      <c r="A28" s="37"/>
      <c r="B28" s="40"/>
      <c r="C28" s="40"/>
      <c r="D28" s="37"/>
      <c r="E28" s="37"/>
      <c r="F28" s="37"/>
      <c r="G28" s="159"/>
      <c r="H28" s="159"/>
      <c r="I28" s="159"/>
    </row>
    <row r="29" spans="1:9" s="31" customFormat="1" x14ac:dyDescent="0.2">
      <c r="A29" s="37" t="s">
        <v>100</v>
      </c>
      <c r="B29" s="40">
        <v>30785</v>
      </c>
      <c r="C29" s="40">
        <v>34746</v>
      </c>
      <c r="D29" s="40">
        <f>C29-B29</f>
        <v>3961</v>
      </c>
      <c r="E29" s="217">
        <v>37702</v>
      </c>
      <c r="F29" s="70">
        <f>E29-C29</f>
        <v>2956</v>
      </c>
      <c r="G29" s="154">
        <f>G8*G21</f>
        <v>38627.245479746052</v>
      </c>
      <c r="H29" s="223">
        <f>+AVERAGE(G29,I29)</f>
        <v>38341.122739873026</v>
      </c>
      <c r="I29" s="217">
        <v>38055</v>
      </c>
    </row>
    <row r="30" spans="1:9" s="31" customFormat="1" x14ac:dyDescent="0.2">
      <c r="A30" s="37" t="s">
        <v>101</v>
      </c>
      <c r="B30" s="40">
        <v>19400</v>
      </c>
      <c r="C30" s="40">
        <v>21539</v>
      </c>
      <c r="D30" s="40">
        <f>C30-B30</f>
        <v>2139</v>
      </c>
      <c r="E30" s="217">
        <v>24180</v>
      </c>
      <c r="F30" s="70">
        <f>E30-C30</f>
        <v>2641</v>
      </c>
      <c r="G30" s="154">
        <f>G29*G32</f>
        <v>24766.025065908787</v>
      </c>
      <c r="H30" s="154">
        <f>H29*H32</f>
        <v>24582.576236989898</v>
      </c>
      <c r="I30" s="217">
        <v>24399.12740807101</v>
      </c>
    </row>
    <row r="31" spans="1:9" s="31" customFormat="1" x14ac:dyDescent="0.2">
      <c r="A31" s="37" t="s">
        <v>102</v>
      </c>
      <c r="B31" s="40">
        <v>11385</v>
      </c>
      <c r="C31" s="40">
        <v>13207</v>
      </c>
      <c r="D31" s="40">
        <f>C31-B31</f>
        <v>1822</v>
      </c>
      <c r="E31" s="217">
        <v>13522</v>
      </c>
      <c r="F31" s="70">
        <f>E31-C31</f>
        <v>315</v>
      </c>
      <c r="G31" s="154">
        <f>G29-G30</f>
        <v>13861.220413837265</v>
      </c>
      <c r="H31" s="154">
        <f>H29-H30</f>
        <v>13758.546502883128</v>
      </c>
      <c r="I31" s="217">
        <v>13655.57962663408</v>
      </c>
    </row>
    <row r="32" spans="1:9" s="31" customFormat="1" x14ac:dyDescent="0.2">
      <c r="A32" s="37" t="s">
        <v>103</v>
      </c>
      <c r="B32" s="43">
        <f>B30/B29</f>
        <v>0.63017703426993665</v>
      </c>
      <c r="C32" s="43">
        <f>C30/C29</f>
        <v>0.61989869337477699</v>
      </c>
      <c r="D32" s="42"/>
      <c r="E32" s="43">
        <f>E30/E29</f>
        <v>0.64134528672218982</v>
      </c>
      <c r="F32" s="37"/>
      <c r="G32" s="203">
        <f>H32</f>
        <v>0.64115431370571563</v>
      </c>
      <c r="H32" s="203">
        <f>I32</f>
        <v>0.64115431370571563</v>
      </c>
      <c r="I32" s="203">
        <f>I30/I29</f>
        <v>0.64115431370571563</v>
      </c>
    </row>
    <row r="33" spans="1:9" s="31" customFormat="1" x14ac:dyDescent="0.2">
      <c r="A33" s="37" t="s">
        <v>104</v>
      </c>
      <c r="B33" s="43">
        <f>B31/B29</f>
        <v>0.36982296573006335</v>
      </c>
      <c r="C33" s="43">
        <f>C31/C29</f>
        <v>0.38010130662522307</v>
      </c>
      <c r="D33" s="42"/>
      <c r="E33" s="43">
        <f>E31/E29</f>
        <v>0.35865471327781018</v>
      </c>
      <c r="F33" s="37"/>
      <c r="G33" s="203">
        <f>1-G32</f>
        <v>0.35884568629428437</v>
      </c>
      <c r="H33" s="203">
        <f>1-H32</f>
        <v>0.35884568629428437</v>
      </c>
      <c r="I33" s="203">
        <f>I31/I29</f>
        <v>0.35883798782378346</v>
      </c>
    </row>
    <row r="34" spans="1:9" s="31" customFormat="1" x14ac:dyDescent="0.2">
      <c r="A34" s="37"/>
      <c r="B34" s="40"/>
      <c r="C34" s="40"/>
      <c r="D34" s="37"/>
      <c r="E34" s="37"/>
      <c r="F34" s="37"/>
      <c r="G34" s="159"/>
      <c r="H34" s="217"/>
      <c r="I34" s="159"/>
    </row>
    <row r="35" spans="1:9" s="31" customFormat="1" x14ac:dyDescent="0.2">
      <c r="A35" s="64" t="s">
        <v>171</v>
      </c>
      <c r="B35" s="43"/>
      <c r="C35" s="43"/>
      <c r="D35" s="37"/>
      <c r="E35" s="37"/>
      <c r="F35" s="37"/>
      <c r="G35" s="154"/>
      <c r="H35" s="154"/>
      <c r="I35" s="154"/>
    </row>
    <row r="36" spans="1:9" s="31" customFormat="1" x14ac:dyDescent="0.2">
      <c r="A36" s="37" t="s">
        <v>105</v>
      </c>
      <c r="B36" s="40">
        <v>11079</v>
      </c>
      <c r="C36" s="40">
        <f>6760+4364+1469</f>
        <v>12593</v>
      </c>
      <c r="D36" s="40">
        <f>C36-B36</f>
        <v>1514</v>
      </c>
      <c r="E36" s="217">
        <f>14112+533</f>
        <v>14645</v>
      </c>
      <c r="F36" s="70">
        <f>E36-C36</f>
        <v>2052</v>
      </c>
      <c r="G36" s="210">
        <f>I36</f>
        <v>20838</v>
      </c>
      <c r="H36" s="210">
        <f>I36</f>
        <v>20838</v>
      </c>
      <c r="I36" s="217">
        <f>20203+635</f>
        <v>20838</v>
      </c>
    </row>
    <row r="37" spans="1:9" s="31" customFormat="1" x14ac:dyDescent="0.2">
      <c r="A37" s="37" t="s">
        <v>106</v>
      </c>
      <c r="B37" s="43">
        <f>B36/B50</f>
        <v>0.10629071407327814</v>
      </c>
      <c r="C37" s="43">
        <f>C36/C50</f>
        <v>0.11220407545017953</v>
      </c>
      <c r="D37" s="43"/>
      <c r="E37" s="43">
        <f>E36/E50</f>
        <v>0.11892677618703458</v>
      </c>
      <c r="F37" s="43"/>
      <c r="G37" s="195">
        <f>G36/G50</f>
        <v>0.15876486793848493</v>
      </c>
      <c r="H37" s="195">
        <f>H36/H50</f>
        <v>0.16157615845088785</v>
      </c>
      <c r="I37" s="195">
        <f>I36/I50</f>
        <v>0.16251881546416677</v>
      </c>
    </row>
    <row r="38" spans="1:9" s="31" customFormat="1" x14ac:dyDescent="0.2">
      <c r="A38" s="37" t="s">
        <v>107</v>
      </c>
      <c r="B38" s="70">
        <v>657</v>
      </c>
      <c r="C38" s="70">
        <v>786</v>
      </c>
      <c r="D38" s="40">
        <f>C38-B38</f>
        <v>129</v>
      </c>
      <c r="E38" s="217">
        <v>533</v>
      </c>
      <c r="F38" s="70">
        <f>E38-C38</f>
        <v>-253</v>
      </c>
      <c r="G38" s="154">
        <f>I38</f>
        <v>635</v>
      </c>
      <c r="H38" s="154">
        <f>I38</f>
        <v>635</v>
      </c>
      <c r="I38" s="217">
        <v>635</v>
      </c>
    </row>
    <row r="39" spans="1:9" s="31" customFormat="1" x14ac:dyDescent="0.2">
      <c r="A39" s="37" t="s">
        <v>108</v>
      </c>
      <c r="B39" s="40">
        <f>B36-B38</f>
        <v>10422</v>
      </c>
      <c r="C39" s="40">
        <f>C36-C38</f>
        <v>11807</v>
      </c>
      <c r="D39" s="40">
        <f>C39-B39</f>
        <v>1385</v>
      </c>
      <c r="E39" s="40">
        <f>E36-E38</f>
        <v>14112</v>
      </c>
      <c r="F39" s="70">
        <f>E39-C39</f>
        <v>2305</v>
      </c>
      <c r="G39" s="154">
        <f>G36-G38</f>
        <v>20203</v>
      </c>
      <c r="H39" s="154">
        <f>H36-H38</f>
        <v>20203</v>
      </c>
      <c r="I39" s="154">
        <f>I36-I38</f>
        <v>20203</v>
      </c>
    </row>
    <row r="40" spans="1:9" s="31" customFormat="1" x14ac:dyDescent="0.2">
      <c r="A40" s="37"/>
      <c r="B40" s="40"/>
      <c r="C40" s="40"/>
      <c r="D40" s="40"/>
      <c r="E40" s="40"/>
      <c r="F40" s="70"/>
      <c r="G40" s="154"/>
      <c r="H40" s="154"/>
      <c r="I40" s="154"/>
    </row>
    <row r="41" spans="1:9" s="31" customFormat="1" x14ac:dyDescent="0.2">
      <c r="A41" s="37" t="s">
        <v>109</v>
      </c>
      <c r="B41" s="40">
        <v>6959</v>
      </c>
      <c r="C41" s="40">
        <v>7835</v>
      </c>
      <c r="D41" s="40">
        <f>C41-B41</f>
        <v>876</v>
      </c>
      <c r="E41" s="217">
        <v>9398</v>
      </c>
      <c r="F41" s="70">
        <f>E41-C41</f>
        <v>1563</v>
      </c>
      <c r="G41" s="207">
        <f>G39/G43</f>
        <v>13340</v>
      </c>
      <c r="H41" s="207">
        <f>H39/H43</f>
        <v>13340</v>
      </c>
      <c r="I41" s="217">
        <v>13340</v>
      </c>
    </row>
    <row r="42" spans="1:9" s="31" customFormat="1" x14ac:dyDescent="0.2">
      <c r="A42" s="37" t="s">
        <v>110</v>
      </c>
      <c r="B42" s="43">
        <f>B41/B55</f>
        <v>0.18437367528613818</v>
      </c>
      <c r="C42" s="43">
        <f>C41/C55</f>
        <v>0.18400225452666683</v>
      </c>
      <c r="D42" s="42"/>
      <c r="E42" s="43">
        <f>E41/E55</f>
        <v>0.19953290870488322</v>
      </c>
      <c r="F42" s="37"/>
      <c r="G42" s="43">
        <f>G41/G55</f>
        <v>0.25670015558548687</v>
      </c>
      <c r="H42" s="43">
        <f>H41/H55</f>
        <v>0.25812132733927473</v>
      </c>
      <c r="I42" s="195">
        <f>I41/I55</f>
        <v>0.25955832279404611</v>
      </c>
    </row>
    <row r="43" spans="1:9" s="31" customFormat="1" x14ac:dyDescent="0.2">
      <c r="A43" s="37" t="s">
        <v>112</v>
      </c>
      <c r="B43" s="142">
        <f>B39/B41</f>
        <v>1.4976289696795517</v>
      </c>
      <c r="C43" s="142">
        <f>C39/C41</f>
        <v>1.5069559668155712</v>
      </c>
      <c r="D43" s="37"/>
      <c r="E43" s="142">
        <f>E39/E41</f>
        <v>1.5015960842732496</v>
      </c>
      <c r="F43" s="37"/>
      <c r="G43" s="209">
        <f>H43</f>
        <v>1.5144677661169414</v>
      </c>
      <c r="H43" s="209">
        <f>I43</f>
        <v>1.5144677661169414</v>
      </c>
      <c r="I43" s="209">
        <f>I39/I41</f>
        <v>1.5144677661169414</v>
      </c>
    </row>
    <row r="44" spans="1:9" s="31" customFormat="1" x14ac:dyDescent="0.2">
      <c r="A44" s="37"/>
      <c r="B44" s="142"/>
      <c r="C44" s="142"/>
      <c r="D44" s="42"/>
      <c r="E44" s="42"/>
      <c r="F44" s="37"/>
      <c r="G44" s="37"/>
      <c r="H44" s="37"/>
      <c r="I44" s="37"/>
    </row>
    <row r="45" spans="1:9" s="31" customFormat="1" x14ac:dyDescent="0.2">
      <c r="A45" s="37" t="s">
        <v>113</v>
      </c>
      <c r="B45" s="40">
        <v>5053</v>
      </c>
      <c r="C45" s="40">
        <v>5919</v>
      </c>
      <c r="D45" s="40">
        <f>C45-B45</f>
        <v>866</v>
      </c>
      <c r="E45" s="217">
        <v>7062</v>
      </c>
      <c r="F45" s="70">
        <f>E45-C45</f>
        <v>1143</v>
      </c>
      <c r="G45" s="207">
        <f>G47*G41</f>
        <v>10117.341730416831</v>
      </c>
      <c r="H45" s="207">
        <f>H47*H41</f>
        <v>10117.341730416831</v>
      </c>
      <c r="I45" s="217">
        <v>10117.341730416831</v>
      </c>
    </row>
    <row r="46" spans="1:9" s="31" customFormat="1" x14ac:dyDescent="0.2">
      <c r="A46" s="37" t="s">
        <v>114</v>
      </c>
      <c r="B46" s="40">
        <v>1906</v>
      </c>
      <c r="C46" s="40">
        <v>1916</v>
      </c>
      <c r="D46" s="40">
        <f>C46-B46</f>
        <v>10</v>
      </c>
      <c r="E46" s="217">
        <v>2336</v>
      </c>
      <c r="F46" s="70">
        <f>E46-C46</f>
        <v>420</v>
      </c>
      <c r="G46" s="40">
        <f>G41-G45</f>
        <v>3222.6582695831694</v>
      </c>
      <c r="H46" s="40">
        <f>H41-H45</f>
        <v>3222.6582695831694</v>
      </c>
      <c r="I46" s="217">
        <v>3222.8879873042633</v>
      </c>
    </row>
    <row r="47" spans="1:9" s="31" customFormat="1" x14ac:dyDescent="0.2">
      <c r="A47" s="37" t="s">
        <v>115</v>
      </c>
      <c r="B47" s="43">
        <f>B45/B41</f>
        <v>0.72611007328639177</v>
      </c>
      <c r="C47" s="43">
        <f>C45/C41</f>
        <v>0.75545628589661773</v>
      </c>
      <c r="D47" s="37"/>
      <c r="E47" s="43">
        <f>E45/E41</f>
        <v>0.75143647584592466</v>
      </c>
      <c r="F47" s="37"/>
      <c r="G47" s="211">
        <f>H47</f>
        <v>0.75842141907172644</v>
      </c>
      <c r="H47" s="211">
        <f>I47</f>
        <v>0.75842141907172644</v>
      </c>
      <c r="I47" s="211">
        <f>I45/I41</f>
        <v>0.75842141907172644</v>
      </c>
    </row>
    <row r="48" spans="1:9" s="31" customFormat="1" x14ac:dyDescent="0.2">
      <c r="A48" s="37" t="s">
        <v>116</v>
      </c>
      <c r="B48" s="43">
        <f>1-B47</f>
        <v>0.27388992671360823</v>
      </c>
      <c r="C48" s="43">
        <f>1-C47</f>
        <v>0.24454371410338227</v>
      </c>
      <c r="D48" s="37"/>
      <c r="E48" s="43">
        <f>1-E47</f>
        <v>0.24856352415407534</v>
      </c>
      <c r="F48" s="37"/>
      <c r="G48" s="211">
        <f>1-G47</f>
        <v>0.24157858092827356</v>
      </c>
      <c r="H48" s="211">
        <f>1-H47</f>
        <v>0.24157858092827356</v>
      </c>
      <c r="I48" s="211">
        <f>1-I47</f>
        <v>0.24157858092827356</v>
      </c>
    </row>
    <row r="49" spans="1:9" s="31" customFormat="1" x14ac:dyDescent="0.2">
      <c r="A49" s="37"/>
      <c r="B49" s="43"/>
      <c r="C49" s="43"/>
      <c r="D49" s="37"/>
      <c r="E49" s="37"/>
      <c r="F49" s="37"/>
      <c r="G49" s="37"/>
      <c r="H49" s="37"/>
      <c r="I49" s="37"/>
    </row>
    <row r="50" spans="1:9" s="31" customFormat="1" x14ac:dyDescent="0.2">
      <c r="A50" s="64" t="s">
        <v>129</v>
      </c>
      <c r="B50" s="40">
        <f>B24+B36</f>
        <v>104233</v>
      </c>
      <c r="C50" s="40">
        <f>C24+C36</f>
        <v>112233</v>
      </c>
      <c r="D50" s="40">
        <f>C50-B50</f>
        <v>8000</v>
      </c>
      <c r="E50" s="40">
        <f>E24+E36</f>
        <v>123143</v>
      </c>
      <c r="F50" s="70">
        <f>E50-C50</f>
        <v>10910</v>
      </c>
      <c r="G50" s="40">
        <f>G24+I36</f>
        <v>131250.69967036974</v>
      </c>
      <c r="H50" s="40">
        <f>H24+I36</f>
        <v>128967.04686993686</v>
      </c>
      <c r="I50" s="40">
        <f>I24+I36</f>
        <v>128219</v>
      </c>
    </row>
    <row r="51" spans="1:9" s="31" customFormat="1" x14ac:dyDescent="0.2">
      <c r="A51" s="37" t="s">
        <v>96</v>
      </c>
      <c r="B51" s="40">
        <f>B25+B38</f>
        <v>6426</v>
      </c>
      <c r="C51" s="40">
        <f>C25+C38</f>
        <v>5765</v>
      </c>
      <c r="D51" s="40">
        <f>C51-B51</f>
        <v>-661</v>
      </c>
      <c r="E51" s="40">
        <f>E25+E38</f>
        <v>8421</v>
      </c>
      <c r="F51" s="70">
        <f>E51-C51</f>
        <v>2656</v>
      </c>
      <c r="G51" s="212">
        <f>G25+G38</f>
        <v>8524</v>
      </c>
      <c r="H51" s="212">
        <f>H25+H38</f>
        <v>8524</v>
      </c>
      <c r="I51" s="212">
        <f>I25+I38</f>
        <v>8524</v>
      </c>
    </row>
    <row r="52" spans="1:9" s="31" customFormat="1" x14ac:dyDescent="0.2">
      <c r="A52" s="37" t="s">
        <v>95</v>
      </c>
      <c r="B52" s="40">
        <f>B50-B51</f>
        <v>97807</v>
      </c>
      <c r="C52" s="40">
        <f>C50-C51</f>
        <v>106468</v>
      </c>
      <c r="D52" s="40">
        <f>C52-B52</f>
        <v>8661</v>
      </c>
      <c r="E52" s="40">
        <f>E50-E51</f>
        <v>114722</v>
      </c>
      <c r="F52" s="70">
        <f>E52-C52</f>
        <v>8254</v>
      </c>
      <c r="G52" s="40">
        <f>G50-G51</f>
        <v>122726.69967036974</v>
      </c>
      <c r="H52" s="40">
        <f>H50-H51</f>
        <v>120443.04686993686</v>
      </c>
      <c r="I52" s="40">
        <f>I50-I51</f>
        <v>119695</v>
      </c>
    </row>
    <row r="53" spans="1:9" s="31" customFormat="1" x14ac:dyDescent="0.2">
      <c r="A53" s="37" t="s">
        <v>126</v>
      </c>
      <c r="B53" s="142">
        <f>B52/B55</f>
        <v>2.5913257736328954</v>
      </c>
      <c r="C53" s="142">
        <f>C52/C55</f>
        <v>2.500364012118081</v>
      </c>
      <c r="D53" s="37"/>
      <c r="E53" s="142">
        <f>E52/E55</f>
        <v>2.435711252653928</v>
      </c>
      <c r="F53" s="37"/>
      <c r="G53" s="142">
        <f>G52/G55</f>
        <v>2.3616164092861491</v>
      </c>
      <c r="H53" s="142">
        <f>H52/H55</f>
        <v>2.3305036826727572</v>
      </c>
      <c r="I53" s="142">
        <f>I52/I55</f>
        <v>2.3289230469890065</v>
      </c>
    </row>
    <row r="54" spans="1:9" s="31" customFormat="1" x14ac:dyDescent="0.2">
      <c r="A54" s="37"/>
      <c r="B54" s="43"/>
      <c r="C54" s="43"/>
      <c r="D54" s="37"/>
      <c r="E54" s="37"/>
      <c r="F54" s="37"/>
      <c r="G54" s="37"/>
      <c r="H54" s="37"/>
      <c r="I54" s="37"/>
    </row>
    <row r="55" spans="1:9" s="31" customFormat="1" x14ac:dyDescent="0.2">
      <c r="A55" s="64" t="s">
        <v>58</v>
      </c>
      <c r="B55" s="40">
        <v>37744</v>
      </c>
      <c r="C55" s="40">
        <v>42581</v>
      </c>
      <c r="D55" s="40">
        <f>C55-B55</f>
        <v>4837</v>
      </c>
      <c r="E55" s="40">
        <f>E29+E41</f>
        <v>47100</v>
      </c>
      <c r="F55" s="70">
        <f>E55-C55</f>
        <v>4519</v>
      </c>
      <c r="G55" s="40">
        <f>G29+G41</f>
        <v>51967.245479746052</v>
      </c>
      <c r="H55" s="40">
        <f>H29+H41</f>
        <v>51681.122739873026</v>
      </c>
      <c r="I55" s="40">
        <f>I29+I41</f>
        <v>51395</v>
      </c>
    </row>
    <row r="56" spans="1:9" s="31" customFormat="1" x14ac:dyDescent="0.2">
      <c r="A56" s="37" t="s">
        <v>101</v>
      </c>
      <c r="B56" s="40">
        <v>24453</v>
      </c>
      <c r="C56" s="40">
        <v>27458</v>
      </c>
      <c r="D56" s="40">
        <f>C56-B56</f>
        <v>3005</v>
      </c>
      <c r="E56" s="40">
        <f>E30+E45</f>
        <v>31242</v>
      </c>
      <c r="F56" s="70">
        <f>E56-C56</f>
        <v>3784</v>
      </c>
      <c r="G56" s="40">
        <f>G30+G45</f>
        <v>34883.366796325616</v>
      </c>
      <c r="H56" s="40">
        <f>H30+H45</f>
        <v>34699.917967406727</v>
      </c>
      <c r="I56" s="40">
        <f>I30+I45</f>
        <v>34516.469138487839</v>
      </c>
    </row>
    <row r="57" spans="1:9" s="31" customFormat="1" x14ac:dyDescent="0.2">
      <c r="A57" s="37" t="s">
        <v>102</v>
      </c>
      <c r="B57" s="40">
        <v>13291</v>
      </c>
      <c r="C57" s="40">
        <v>15123</v>
      </c>
      <c r="D57" s="40">
        <f>C57-B57</f>
        <v>1832</v>
      </c>
      <c r="E57" s="40">
        <f>E31+E46</f>
        <v>15858</v>
      </c>
      <c r="F57" s="70">
        <f>E57-C57</f>
        <v>735</v>
      </c>
      <c r="G57" s="40">
        <f>G31+G46</f>
        <v>17083.878683420437</v>
      </c>
      <c r="H57" s="40">
        <f>H31+H46</f>
        <v>16981.204772466299</v>
      </c>
      <c r="I57" s="40">
        <f>I55-I56</f>
        <v>16878.530861512161</v>
      </c>
    </row>
    <row r="58" spans="1:9" s="31" customFormat="1" x14ac:dyDescent="0.2">
      <c r="A58" s="37" t="s">
        <v>103</v>
      </c>
      <c r="B58" s="43">
        <f>B56/B55</f>
        <v>0.64786456125476899</v>
      </c>
      <c r="C58" s="43">
        <f>C56/C55</f>
        <v>0.64484159601700286</v>
      </c>
      <c r="D58" s="37"/>
      <c r="E58" s="43">
        <f>E56/E55</f>
        <v>0.66331210191082801</v>
      </c>
      <c r="F58" s="37"/>
      <c r="G58" s="43">
        <f>G56/G55</f>
        <v>0.67125679789823023</v>
      </c>
      <c r="H58" s="43">
        <f>H56/H55</f>
        <v>0.67142345459602493</v>
      </c>
      <c r="I58" s="43">
        <f>I56/I55</f>
        <v>0.67159196689343004</v>
      </c>
    </row>
    <row r="59" spans="1:9" s="31" customFormat="1" x14ac:dyDescent="0.2">
      <c r="A59" s="37" t="s">
        <v>104</v>
      </c>
      <c r="B59" s="43">
        <f>B57/B55</f>
        <v>0.35213543874523101</v>
      </c>
      <c r="C59" s="43">
        <f>C57/C55</f>
        <v>0.35515840398299708</v>
      </c>
      <c r="D59" s="37"/>
      <c r="E59" s="43">
        <f>E57/E55</f>
        <v>0.33668789808917199</v>
      </c>
      <c r="F59" s="37"/>
      <c r="G59" s="43">
        <f>1-G58</f>
        <v>0.32874320210176977</v>
      </c>
      <c r="H59" s="43">
        <f>1-H58</f>
        <v>0.32857654540397507</v>
      </c>
      <c r="I59" s="43">
        <f>1-I58</f>
        <v>0.32840803310656996</v>
      </c>
    </row>
    <row r="60" spans="1:9" s="31" customFormat="1" ht="15.75" x14ac:dyDescent="0.2">
      <c r="A60" s="213"/>
      <c r="B60" s="213"/>
      <c r="C60" s="213"/>
      <c r="D60" s="214"/>
      <c r="E60" s="215"/>
      <c r="F60" s="214"/>
      <c r="G60" s="215"/>
      <c r="H60" s="215"/>
      <c r="I60" s="216"/>
    </row>
    <row r="61" spans="1:9" s="31" customFormat="1" x14ac:dyDescent="0.2">
      <c r="A61" s="64" t="s">
        <v>93</v>
      </c>
      <c r="B61" s="40"/>
      <c r="C61" s="40"/>
      <c r="D61" s="40"/>
      <c r="E61" s="40"/>
      <c r="F61" s="37"/>
      <c r="G61" s="40"/>
      <c r="H61" s="40"/>
      <c r="I61" s="40"/>
    </row>
    <row r="62" spans="1:9" s="31" customFormat="1" x14ac:dyDescent="0.2">
      <c r="A62" s="37" t="s">
        <v>1</v>
      </c>
      <c r="B62" s="40">
        <v>657</v>
      </c>
      <c r="C62" s="40">
        <v>202</v>
      </c>
      <c r="D62" s="40">
        <f t="shared" ref="D62:D68" si="0">C62-B62</f>
        <v>-455</v>
      </c>
      <c r="E62" s="40">
        <v>684</v>
      </c>
      <c r="F62" s="40">
        <f>+E62-C62</f>
        <v>482</v>
      </c>
      <c r="G62" s="40">
        <f t="shared" ref="G62:I63" si="1">G56/(1-G70)-G56</f>
        <v>352.35724036692409</v>
      </c>
      <c r="H62" s="40">
        <f t="shared" si="1"/>
        <v>350.5042218929957</v>
      </c>
      <c r="I62" s="40">
        <f t="shared" si="1"/>
        <v>348.65120341906731</v>
      </c>
    </row>
    <row r="63" spans="1:9" s="31" customFormat="1" x14ac:dyDescent="0.2">
      <c r="A63" s="37" t="s">
        <v>2</v>
      </c>
      <c r="B63" s="40">
        <v>1572</v>
      </c>
      <c r="C63" s="40">
        <v>370</v>
      </c>
      <c r="D63" s="40">
        <f t="shared" si="0"/>
        <v>-1202</v>
      </c>
      <c r="E63" s="40">
        <v>1250</v>
      </c>
      <c r="F63" s="40">
        <f t="shared" ref="F63:F68" si="2">+E63-C63</f>
        <v>880</v>
      </c>
      <c r="G63" s="40">
        <f t="shared" si="1"/>
        <v>711.82827847585213</v>
      </c>
      <c r="H63" s="40">
        <f t="shared" si="1"/>
        <v>707.55019885276488</v>
      </c>
      <c r="I63" s="40">
        <f t="shared" si="1"/>
        <v>703.27211922967399</v>
      </c>
    </row>
    <row r="64" spans="1:9" s="31" customFormat="1" x14ac:dyDescent="0.2">
      <c r="A64" s="37" t="s">
        <v>8</v>
      </c>
      <c r="B64" s="40">
        <v>200</v>
      </c>
      <c r="C64" s="40">
        <v>138</v>
      </c>
      <c r="D64" s="40">
        <f t="shared" si="0"/>
        <v>-62</v>
      </c>
      <c r="E64" s="139">
        <v>152</v>
      </c>
      <c r="F64" s="40">
        <f t="shared" si="2"/>
        <v>14</v>
      </c>
      <c r="G64" s="140" t="s">
        <v>32</v>
      </c>
      <c r="H64" s="40"/>
      <c r="I64" s="40"/>
    </row>
    <row r="65" spans="1:10" s="31" customFormat="1" x14ac:dyDescent="0.2">
      <c r="A65" s="37" t="s">
        <v>10</v>
      </c>
      <c r="B65" s="40">
        <v>1794</v>
      </c>
      <c r="C65" s="40">
        <v>1823</v>
      </c>
      <c r="D65" s="40">
        <f t="shared" si="0"/>
        <v>29</v>
      </c>
      <c r="E65" s="139">
        <v>1670</v>
      </c>
      <c r="F65" s="40">
        <f t="shared" si="2"/>
        <v>-153</v>
      </c>
      <c r="G65" s="140" t="s">
        <v>32</v>
      </c>
      <c r="H65" s="40"/>
      <c r="I65" s="40"/>
    </row>
    <row r="66" spans="1:10" s="31" customFormat="1" x14ac:dyDescent="0.2">
      <c r="A66" s="37" t="s">
        <v>7</v>
      </c>
      <c r="B66" s="40">
        <v>420</v>
      </c>
      <c r="C66" s="40">
        <v>425</v>
      </c>
      <c r="D66" s="40">
        <f t="shared" si="0"/>
        <v>5</v>
      </c>
      <c r="E66" s="139">
        <v>840</v>
      </c>
      <c r="F66" s="40">
        <f t="shared" si="2"/>
        <v>415</v>
      </c>
      <c r="G66" s="140" t="s">
        <v>32</v>
      </c>
      <c r="H66" s="40"/>
      <c r="I66" s="40"/>
    </row>
    <row r="67" spans="1:10" s="31" customFormat="1" x14ac:dyDescent="0.2">
      <c r="A67" s="37" t="s">
        <v>11</v>
      </c>
      <c r="B67" s="40">
        <f>SUM(B62:B66)</f>
        <v>4643</v>
      </c>
      <c r="C67" s="40">
        <f>SUM(C62:C66)</f>
        <v>2958</v>
      </c>
      <c r="D67" s="40">
        <f t="shared" si="0"/>
        <v>-1685</v>
      </c>
      <c r="E67" s="139">
        <v>4597</v>
      </c>
      <c r="F67" s="40">
        <f t="shared" si="2"/>
        <v>1639</v>
      </c>
      <c r="G67" s="140" t="s">
        <v>32</v>
      </c>
      <c r="H67" s="40"/>
      <c r="I67" s="40"/>
    </row>
    <row r="68" spans="1:10" s="31" customFormat="1" x14ac:dyDescent="0.2">
      <c r="A68" s="37" t="s">
        <v>9</v>
      </c>
      <c r="B68" s="40">
        <v>42387</v>
      </c>
      <c r="C68" s="40">
        <v>45539</v>
      </c>
      <c r="D68" s="40">
        <f t="shared" si="0"/>
        <v>3152</v>
      </c>
      <c r="E68" s="139">
        <v>51697</v>
      </c>
      <c r="F68" s="40">
        <f t="shared" si="2"/>
        <v>6158</v>
      </c>
      <c r="G68" s="140" t="s">
        <v>32</v>
      </c>
      <c r="H68" s="40"/>
      <c r="I68" s="40"/>
    </row>
    <row r="69" spans="1:10" s="31" customFormat="1" ht="14.25" x14ac:dyDescent="0.2">
      <c r="A69" s="37"/>
      <c r="B69" s="174"/>
      <c r="C69" s="174"/>
      <c r="D69" s="37"/>
      <c r="E69" s="42"/>
      <c r="F69" s="37"/>
      <c r="G69" s="43"/>
      <c r="H69" s="43"/>
      <c r="I69" s="43"/>
    </row>
    <row r="70" spans="1:10" s="31" customFormat="1" x14ac:dyDescent="0.2">
      <c r="A70" s="37" t="s">
        <v>4</v>
      </c>
      <c r="B70" s="43">
        <f>B62/B81</f>
        <v>2.6164874551971327E-2</v>
      </c>
      <c r="C70" s="43">
        <f>C62/C81</f>
        <v>7.3029645697758492E-3</v>
      </c>
      <c r="D70" s="42"/>
      <c r="E70" s="43">
        <f>E62/E81</f>
        <v>2.1424544258598008E-2</v>
      </c>
      <c r="F70" s="37"/>
      <c r="G70" s="218">
        <v>0.01</v>
      </c>
      <c r="H70" s="43">
        <f>G70</f>
        <v>0.01</v>
      </c>
      <c r="I70" s="43">
        <f>H70</f>
        <v>0.01</v>
      </c>
    </row>
    <row r="71" spans="1:10" s="31" customFormat="1" x14ac:dyDescent="0.2">
      <c r="A71" s="37" t="s">
        <v>3</v>
      </c>
      <c r="B71" s="43">
        <f>B63/B82</f>
        <v>0.10576599609769226</v>
      </c>
      <c r="C71" s="43">
        <f>C63/C82</f>
        <v>2.388175304976441E-2</v>
      </c>
      <c r="D71" s="42"/>
      <c r="E71" s="43">
        <f>E63/E82</f>
        <v>7.3065232639700731E-2</v>
      </c>
      <c r="F71" s="37"/>
      <c r="G71" s="218">
        <v>0.04</v>
      </c>
      <c r="H71" s="43">
        <f>G71</f>
        <v>0.04</v>
      </c>
      <c r="I71" s="43">
        <f>H71</f>
        <v>0.04</v>
      </c>
      <c r="J71" s="34" t="s">
        <v>130</v>
      </c>
    </row>
    <row r="72" spans="1:10" s="31" customFormat="1" x14ac:dyDescent="0.2">
      <c r="A72" s="37" t="s">
        <v>5</v>
      </c>
      <c r="B72" s="43">
        <f>(B62+B63)/B83</f>
        <v>5.5762639781852752E-2</v>
      </c>
      <c r="C72" s="43">
        <f>(C62+C63)/C83</f>
        <v>1.325516186591894E-2</v>
      </c>
      <c r="D72" s="42"/>
      <c r="E72" s="43">
        <f>(E62+E63)/E83</f>
        <v>3.9442019822979971E-2</v>
      </c>
      <c r="F72" s="37"/>
      <c r="G72" s="43">
        <f>(G62+G63)/G83</f>
        <v>1.9967456072470916E-2</v>
      </c>
      <c r="H72" s="43">
        <f>(H62+H63)/H83</f>
        <v>1.9961880382971198E-2</v>
      </c>
      <c r="I72" s="43">
        <f>(I62+I63)/I83</f>
        <v>1.9956242865713753E-2</v>
      </c>
    </row>
    <row r="73" spans="1:10" s="31" customFormat="1" x14ac:dyDescent="0.2">
      <c r="A73" s="37"/>
      <c r="B73" s="43"/>
      <c r="C73" s="43"/>
      <c r="D73" s="42"/>
      <c r="E73" s="42"/>
      <c r="F73" s="37"/>
      <c r="G73" s="37"/>
      <c r="H73" s="37"/>
      <c r="I73" s="37"/>
    </row>
    <row r="74" spans="1:10" s="31" customFormat="1" x14ac:dyDescent="0.2">
      <c r="A74" s="37"/>
      <c r="B74" s="43"/>
      <c r="C74" s="43"/>
      <c r="D74" s="42"/>
      <c r="E74" s="42"/>
      <c r="F74" s="37"/>
      <c r="G74" s="37"/>
      <c r="H74" s="37"/>
      <c r="I74" s="37"/>
    </row>
    <row r="75" spans="1:10" s="31" customFormat="1" x14ac:dyDescent="0.2">
      <c r="A75" s="37" t="s">
        <v>38</v>
      </c>
      <c r="B75" s="43"/>
      <c r="C75" s="43"/>
      <c r="D75" s="42"/>
      <c r="E75" s="42"/>
      <c r="F75" s="37"/>
      <c r="G75" s="154">
        <f>0.0005*8*E81</f>
        <v>127.70400000000001</v>
      </c>
      <c r="H75" s="154">
        <f>G75</f>
        <v>127.70400000000001</v>
      </c>
      <c r="I75" s="154">
        <f>H75</f>
        <v>127.70400000000001</v>
      </c>
    </row>
    <row r="76" spans="1:10" s="31" customFormat="1" x14ac:dyDescent="0.2">
      <c r="A76" s="37" t="s">
        <v>39</v>
      </c>
      <c r="B76" s="43"/>
      <c r="C76" s="43"/>
      <c r="D76" s="42"/>
      <c r="E76" s="42"/>
      <c r="F76" s="37"/>
      <c r="G76" s="154">
        <f>0.001*8*E82</f>
        <v>136.864</v>
      </c>
      <c r="H76" s="154">
        <f>G76</f>
        <v>136.864</v>
      </c>
      <c r="I76" s="154">
        <f>H76</f>
        <v>136.864</v>
      </c>
    </row>
    <row r="77" spans="1:10" s="31" customFormat="1" x14ac:dyDescent="0.2">
      <c r="A77" s="37" t="s">
        <v>47</v>
      </c>
      <c r="B77" s="43"/>
      <c r="C77" s="43"/>
      <c r="D77" s="42"/>
      <c r="E77" s="42"/>
      <c r="F77" s="37"/>
      <c r="G77" s="154">
        <f>G75+G76</f>
        <v>264.56799999999998</v>
      </c>
      <c r="H77" s="154">
        <f>H75+H76</f>
        <v>264.56799999999998</v>
      </c>
      <c r="I77" s="154">
        <f>I75+I76</f>
        <v>264.56799999999998</v>
      </c>
    </row>
    <row r="78" spans="1:10" s="31" customFormat="1" x14ac:dyDescent="0.2">
      <c r="B78" s="38"/>
      <c r="C78" s="38"/>
      <c r="D78" s="44"/>
      <c r="E78" s="44"/>
      <c r="G78" s="45"/>
      <c r="H78" s="45"/>
      <c r="I78" s="45"/>
    </row>
    <row r="79" spans="1:10" x14ac:dyDescent="0.2">
      <c r="A79" s="31"/>
      <c r="B79" s="38"/>
      <c r="C79" s="38"/>
      <c r="D79" s="44"/>
      <c r="E79" s="44"/>
      <c r="F79" s="33"/>
      <c r="G79" s="46">
        <v>2020</v>
      </c>
      <c r="H79" s="22">
        <v>2020</v>
      </c>
      <c r="I79" s="47">
        <v>2020</v>
      </c>
    </row>
    <row r="80" spans="1:10" ht="25.5" x14ac:dyDescent="0.2">
      <c r="A80" s="48" t="s">
        <v>64</v>
      </c>
      <c r="B80" s="48">
        <v>1990</v>
      </c>
      <c r="C80" s="48">
        <v>2000</v>
      </c>
      <c r="D80" s="29" t="s">
        <v>117</v>
      </c>
      <c r="E80" s="48">
        <v>2010</v>
      </c>
      <c r="F80" s="49" t="s">
        <v>44</v>
      </c>
      <c r="G80" s="50" t="s">
        <v>35</v>
      </c>
      <c r="H80" s="51" t="s">
        <v>36</v>
      </c>
      <c r="I80" s="50" t="s">
        <v>37</v>
      </c>
    </row>
    <row r="81" spans="1:13" x14ac:dyDescent="0.2">
      <c r="A81" s="31" t="s">
        <v>13</v>
      </c>
      <c r="B81" s="32">
        <f>B56+B62</f>
        <v>25110</v>
      </c>
      <c r="C81" s="32">
        <f>C56+C62</f>
        <v>27660</v>
      </c>
      <c r="D81" s="32">
        <f>C81-B81</f>
        <v>2550</v>
      </c>
      <c r="E81" s="32">
        <f>E56+E62</f>
        <v>31926</v>
      </c>
      <c r="F81" s="52" t="s">
        <v>41</v>
      </c>
      <c r="G81" s="53">
        <f t="shared" ref="G81:I82" si="3">G56+G62+G75</f>
        <v>35363.428036692538</v>
      </c>
      <c r="H81" s="53">
        <f t="shared" si="3"/>
        <v>35178.126189299721</v>
      </c>
      <c r="I81" s="53">
        <f t="shared" si="3"/>
        <v>34992.824341906904</v>
      </c>
    </row>
    <row r="82" spans="1:13" x14ac:dyDescent="0.2">
      <c r="A82" s="31" t="s">
        <v>14</v>
      </c>
      <c r="B82" s="32">
        <f>B57+B63</f>
        <v>14863</v>
      </c>
      <c r="C82" s="32">
        <f>C57+C63</f>
        <v>15493</v>
      </c>
      <c r="D82" s="32">
        <f>C82-B82</f>
        <v>630</v>
      </c>
      <c r="E82" s="32">
        <f>E57+E63</f>
        <v>17108</v>
      </c>
      <c r="F82" s="52" t="s">
        <v>43</v>
      </c>
      <c r="G82" s="53">
        <f t="shared" si="3"/>
        <v>17932.57096189629</v>
      </c>
      <c r="H82" s="53">
        <f t="shared" si="3"/>
        <v>17825.618971319065</v>
      </c>
      <c r="I82" s="53">
        <f t="shared" si="3"/>
        <v>17718.666980741837</v>
      </c>
    </row>
    <row r="83" spans="1:13" x14ac:dyDescent="0.2">
      <c r="A83" s="31" t="s">
        <v>12</v>
      </c>
      <c r="B83" s="32">
        <f>B81+B82</f>
        <v>39973</v>
      </c>
      <c r="C83" s="32">
        <f>C81+C82</f>
        <v>43153</v>
      </c>
      <c r="D83" s="32">
        <f>C83-B83</f>
        <v>3180</v>
      </c>
      <c r="E83" s="32">
        <f>E81+E82</f>
        <v>49034</v>
      </c>
      <c r="F83" s="52" t="s">
        <v>42</v>
      </c>
      <c r="G83" s="53">
        <f>G81+G82</f>
        <v>53295.998998588824</v>
      </c>
      <c r="H83" s="53">
        <f>H81+H82</f>
        <v>53003.745160618782</v>
      </c>
      <c r="I83" s="53">
        <f>I81+I82</f>
        <v>52711.491322648741</v>
      </c>
    </row>
    <row r="84" spans="1:13" x14ac:dyDescent="0.2">
      <c r="A84" s="31"/>
      <c r="B84" s="32"/>
      <c r="C84" s="32"/>
      <c r="D84" s="32"/>
      <c r="E84" s="32"/>
      <c r="F84" s="54" t="s">
        <v>205</v>
      </c>
      <c r="G84" s="75"/>
      <c r="H84" s="76"/>
      <c r="I84" s="77"/>
    </row>
    <row r="85" spans="1:13" x14ac:dyDescent="0.2">
      <c r="A85" s="31"/>
      <c r="B85" s="32"/>
      <c r="C85" s="39"/>
      <c r="D85" s="31"/>
      <c r="E85" s="31"/>
      <c r="F85" s="49" t="s">
        <v>44</v>
      </c>
      <c r="G85" s="78" t="s">
        <v>35</v>
      </c>
      <c r="H85" s="79" t="s">
        <v>36</v>
      </c>
      <c r="I85" s="78" t="s">
        <v>37</v>
      </c>
    </row>
    <row r="86" spans="1:13" x14ac:dyDescent="0.2">
      <c r="A86" s="31"/>
      <c r="B86" s="31"/>
      <c r="C86" s="31"/>
      <c r="D86" s="31"/>
      <c r="E86" s="31"/>
      <c r="F86" s="52" t="s">
        <v>41</v>
      </c>
      <c r="G86" s="53">
        <f>G81-E81</f>
        <v>3437.4280366925377</v>
      </c>
      <c r="H86" s="53">
        <f>H81-E81</f>
        <v>3252.1261892997209</v>
      </c>
      <c r="I86" s="53">
        <f>I81-E81</f>
        <v>3066.824341906904</v>
      </c>
    </row>
    <row r="87" spans="1:13" x14ac:dyDescent="0.2">
      <c r="A87" s="31"/>
      <c r="B87" s="31"/>
      <c r="C87" s="31"/>
      <c r="D87" s="31"/>
      <c r="E87" s="31"/>
      <c r="F87" s="52" t="s">
        <v>43</v>
      </c>
      <c r="G87" s="53">
        <f>G82-E82</f>
        <v>824.5709618962901</v>
      </c>
      <c r="H87" s="53">
        <f>H82-E82</f>
        <v>717.61897131906517</v>
      </c>
      <c r="I87" s="53">
        <f>I82-E82</f>
        <v>610.6669807418366</v>
      </c>
    </row>
    <row r="88" spans="1:13" x14ac:dyDescent="0.2">
      <c r="A88" s="31"/>
      <c r="B88" s="31"/>
      <c r="C88" s="31"/>
      <c r="D88" s="31"/>
      <c r="E88" s="31"/>
      <c r="F88" s="52" t="s">
        <v>42</v>
      </c>
      <c r="G88" s="53">
        <f>G83-E83</f>
        <v>4261.9989985888242</v>
      </c>
      <c r="H88" s="53">
        <f>H83-E83</f>
        <v>3969.7451606187824</v>
      </c>
      <c r="I88" s="53">
        <f>I83-E83</f>
        <v>3677.4913226487406</v>
      </c>
    </row>
    <row r="89" spans="1:13" x14ac:dyDescent="0.2">
      <c r="A89" s="31"/>
      <c r="B89" s="38"/>
      <c r="C89" s="38"/>
      <c r="D89" s="31"/>
      <c r="E89" s="31"/>
      <c r="F89" s="35" t="s">
        <v>91</v>
      </c>
      <c r="G89" s="36"/>
      <c r="H89" s="36"/>
      <c r="I89" s="55"/>
    </row>
    <row r="90" spans="1:13" x14ac:dyDescent="0.2">
      <c r="A90" s="31"/>
      <c r="B90" s="38"/>
      <c r="C90" s="38"/>
      <c r="D90" s="31"/>
      <c r="E90" s="31"/>
      <c r="F90" s="52" t="s">
        <v>41</v>
      </c>
      <c r="G90" s="53">
        <f t="shared" ref="G90:I91" si="4">(1-$G$16)*G86</f>
        <v>1985.2676674431939</v>
      </c>
      <c r="H90" s="53">
        <f t="shared" si="4"/>
        <v>1878.247604064524</v>
      </c>
      <c r="I90" s="53">
        <f t="shared" si="4"/>
        <v>1771.2275406858539</v>
      </c>
    </row>
    <row r="91" spans="1:13" x14ac:dyDescent="0.2">
      <c r="A91" s="31"/>
      <c r="B91" s="38"/>
      <c r="C91" s="38"/>
      <c r="D91" s="31"/>
      <c r="E91" s="31"/>
      <c r="F91" s="52" t="s">
        <v>43</v>
      </c>
      <c r="G91" s="53">
        <f t="shared" si="4"/>
        <v>476.22642647097842</v>
      </c>
      <c r="H91" s="53">
        <f t="shared" si="4"/>
        <v>414.45689221595609</v>
      </c>
      <c r="I91" s="53">
        <f t="shared" si="4"/>
        <v>352.68735796093171</v>
      </c>
    </row>
    <row r="92" spans="1:13" x14ac:dyDescent="0.2">
      <c r="A92" s="31"/>
      <c r="B92" s="38"/>
      <c r="C92" s="38"/>
      <c r="D92" s="31"/>
      <c r="E92" s="31"/>
      <c r="F92" s="52" t="s">
        <v>42</v>
      </c>
      <c r="G92" s="53">
        <f>G90+G91</f>
        <v>2461.4940939141725</v>
      </c>
      <c r="H92" s="53">
        <f>H90+H91</f>
        <v>2292.7044962804803</v>
      </c>
      <c r="I92" s="53">
        <f>I90+I91</f>
        <v>2123.9148986467858</v>
      </c>
    </row>
    <row r="93" spans="1:13" ht="14.25" x14ac:dyDescent="0.2">
      <c r="A93" s="30"/>
      <c r="B93" s="67"/>
      <c r="C93" s="67"/>
      <c r="D93" s="30"/>
      <c r="E93" s="30"/>
      <c r="F93" s="69"/>
      <c r="G93" s="72"/>
      <c r="H93" s="72"/>
      <c r="I93" s="74"/>
    </row>
    <row r="94" spans="1:13" ht="14.25" x14ac:dyDescent="0.2">
      <c r="A94" s="30"/>
      <c r="B94" s="67"/>
      <c r="C94" s="67"/>
      <c r="D94" s="30"/>
      <c r="E94" s="30"/>
      <c r="F94" s="69"/>
      <c r="G94" s="72"/>
      <c r="H94" s="72"/>
      <c r="I94" s="74"/>
    </row>
    <row r="95" spans="1:13" ht="25.5" x14ac:dyDescent="0.2">
      <c r="A95" s="184" t="s">
        <v>155</v>
      </c>
      <c r="B95" s="181">
        <v>1990</v>
      </c>
      <c r="C95" s="182">
        <v>2000</v>
      </c>
      <c r="D95" s="183" t="s">
        <v>117</v>
      </c>
      <c r="E95" s="48">
        <v>2010</v>
      </c>
      <c r="F95" s="34"/>
      <c r="G95" s="175"/>
      <c r="H95" s="176" t="s">
        <v>185</v>
      </c>
      <c r="I95" s="177"/>
      <c r="K95" s="178"/>
      <c r="L95" s="179" t="s">
        <v>186</v>
      </c>
      <c r="M95" s="180"/>
    </row>
    <row r="96" spans="1:13" x14ac:dyDescent="0.2">
      <c r="A96" s="21" t="s">
        <v>150</v>
      </c>
      <c r="B96" s="32">
        <f t="shared" ref="B96:C98" si="5">B29</f>
        <v>30785</v>
      </c>
      <c r="C96" s="32">
        <f t="shared" si="5"/>
        <v>34746</v>
      </c>
      <c r="D96" s="32">
        <f>C96-B96</f>
        <v>3961</v>
      </c>
      <c r="E96" s="32">
        <f t="shared" ref="E96:I98" si="6">E29</f>
        <v>37702</v>
      </c>
      <c r="F96" s="34"/>
      <c r="G96" s="32">
        <f t="shared" si="6"/>
        <v>38627.245479746052</v>
      </c>
      <c r="H96" s="32">
        <f t="shared" si="6"/>
        <v>38341.122739873026</v>
      </c>
      <c r="I96" s="32">
        <f t="shared" si="6"/>
        <v>38055</v>
      </c>
      <c r="K96" s="3">
        <f>G96-E96</f>
        <v>925.2454797460523</v>
      </c>
      <c r="L96" s="3">
        <f>H96-E96</f>
        <v>639.12273987302615</v>
      </c>
      <c r="M96" s="3">
        <f>I96-E96</f>
        <v>353</v>
      </c>
    </row>
    <row r="97" spans="1:13" x14ac:dyDescent="0.2">
      <c r="A97" s="31" t="s">
        <v>151</v>
      </c>
      <c r="B97" s="32">
        <f t="shared" si="5"/>
        <v>19400</v>
      </c>
      <c r="C97" s="32">
        <f t="shared" si="5"/>
        <v>21539</v>
      </c>
      <c r="D97" s="32">
        <f>C97-B97</f>
        <v>2139</v>
      </c>
      <c r="E97" s="32">
        <f t="shared" si="6"/>
        <v>24180</v>
      </c>
      <c r="F97" s="34"/>
      <c r="G97" s="32">
        <f t="shared" si="6"/>
        <v>24766.025065908787</v>
      </c>
      <c r="H97" s="32">
        <f t="shared" si="6"/>
        <v>24582.576236989898</v>
      </c>
      <c r="I97" s="32">
        <f t="shared" si="6"/>
        <v>24399.12740807101</v>
      </c>
      <c r="K97" s="3">
        <f t="shared" ref="K97:K106" si="7">G97-E97</f>
        <v>586.02506590878693</v>
      </c>
      <c r="L97" s="3">
        <f t="shared" ref="L97:L106" si="8">H97-E97</f>
        <v>402.57623698989846</v>
      </c>
      <c r="M97" s="3">
        <f t="shared" ref="M97:M106" si="9">I97-E97</f>
        <v>219.12740807101</v>
      </c>
    </row>
    <row r="98" spans="1:13" x14ac:dyDescent="0.2">
      <c r="A98" s="31" t="s">
        <v>152</v>
      </c>
      <c r="B98" s="32">
        <f t="shared" si="5"/>
        <v>11385</v>
      </c>
      <c r="C98" s="32">
        <f t="shared" si="5"/>
        <v>13207</v>
      </c>
      <c r="D98" s="32">
        <f>C98-B98</f>
        <v>1822</v>
      </c>
      <c r="E98" s="32">
        <f t="shared" si="6"/>
        <v>13522</v>
      </c>
      <c r="F98" s="34"/>
      <c r="G98" s="32">
        <f t="shared" si="6"/>
        <v>13861.220413837265</v>
      </c>
      <c r="H98" s="32">
        <f t="shared" si="6"/>
        <v>13758.546502883128</v>
      </c>
      <c r="I98" s="32">
        <f t="shared" si="6"/>
        <v>13655.57962663408</v>
      </c>
      <c r="K98" s="3">
        <f t="shared" si="7"/>
        <v>339.22041383726537</v>
      </c>
      <c r="L98" s="3">
        <f t="shared" si="8"/>
        <v>236.54650288312769</v>
      </c>
      <c r="M98" s="3">
        <f t="shared" si="9"/>
        <v>133.57962663408034</v>
      </c>
    </row>
    <row r="99" spans="1:13" x14ac:dyDescent="0.2">
      <c r="A99" s="31"/>
      <c r="B99" s="31"/>
      <c r="C99" s="31"/>
      <c r="D99" s="31"/>
      <c r="E99" s="31"/>
      <c r="F99" s="34"/>
      <c r="G99" s="31"/>
      <c r="H99" s="31"/>
      <c r="I99" s="31"/>
      <c r="K99" s="3"/>
      <c r="L99" s="3"/>
      <c r="M99" s="3"/>
    </row>
    <row r="100" spans="1:13" x14ac:dyDescent="0.2">
      <c r="A100" s="21" t="s">
        <v>153</v>
      </c>
      <c r="B100" s="32">
        <f>B41</f>
        <v>6959</v>
      </c>
      <c r="C100" s="32">
        <f>C41</f>
        <v>7835</v>
      </c>
      <c r="D100" s="32">
        <f t="shared" ref="D100:D106" si="10">C100-B100</f>
        <v>876</v>
      </c>
      <c r="E100" s="32">
        <f>E41</f>
        <v>9398</v>
      </c>
      <c r="F100" s="34"/>
      <c r="G100" s="32">
        <f>G41</f>
        <v>13340</v>
      </c>
      <c r="H100" s="32">
        <f>H41</f>
        <v>13340</v>
      </c>
      <c r="I100" s="32">
        <f>I41</f>
        <v>13340</v>
      </c>
      <c r="K100" s="3">
        <f t="shared" si="7"/>
        <v>3942</v>
      </c>
      <c r="L100" s="3">
        <f t="shared" si="8"/>
        <v>3942</v>
      </c>
      <c r="M100" s="3">
        <f t="shared" si="9"/>
        <v>3942</v>
      </c>
    </row>
    <row r="101" spans="1:13" x14ac:dyDescent="0.2">
      <c r="A101" s="31" t="s">
        <v>151</v>
      </c>
      <c r="B101" s="32">
        <f>B45</f>
        <v>5053</v>
      </c>
      <c r="C101" s="32">
        <f>C45</f>
        <v>5919</v>
      </c>
      <c r="D101" s="32">
        <f t="shared" si="10"/>
        <v>866</v>
      </c>
      <c r="E101" s="32">
        <f t="shared" ref="E101:I102" si="11">E45</f>
        <v>7062</v>
      </c>
      <c r="F101" s="34"/>
      <c r="G101" s="32">
        <f t="shared" si="11"/>
        <v>10117.341730416831</v>
      </c>
      <c r="H101" s="32">
        <f t="shared" si="11"/>
        <v>10117.341730416831</v>
      </c>
      <c r="I101" s="32">
        <f t="shared" si="11"/>
        <v>10117.341730416831</v>
      </c>
      <c r="K101" s="3">
        <f t="shared" si="7"/>
        <v>3055.3417304168306</v>
      </c>
      <c r="L101" s="3">
        <f t="shared" si="8"/>
        <v>3055.3417304168306</v>
      </c>
      <c r="M101" s="3">
        <f t="shared" si="9"/>
        <v>3055.3417304168306</v>
      </c>
    </row>
    <row r="102" spans="1:13" x14ac:dyDescent="0.2">
      <c r="A102" s="31" t="s">
        <v>152</v>
      </c>
      <c r="B102" s="32">
        <f>B46</f>
        <v>1906</v>
      </c>
      <c r="C102" s="32">
        <f>C46</f>
        <v>1916</v>
      </c>
      <c r="D102" s="32">
        <f t="shared" si="10"/>
        <v>10</v>
      </c>
      <c r="E102" s="32">
        <f t="shared" si="11"/>
        <v>2336</v>
      </c>
      <c r="F102" s="34"/>
      <c r="G102" s="32">
        <f t="shared" si="11"/>
        <v>3222.6582695831694</v>
      </c>
      <c r="H102" s="32">
        <f t="shared" si="11"/>
        <v>3222.6582695831694</v>
      </c>
      <c r="I102" s="32">
        <f t="shared" si="11"/>
        <v>3222.8879873042633</v>
      </c>
      <c r="K102" s="3">
        <f t="shared" si="7"/>
        <v>886.65826958316939</v>
      </c>
      <c r="L102" s="3">
        <f t="shared" si="8"/>
        <v>886.65826958316939</v>
      </c>
      <c r="M102" s="3">
        <f t="shared" si="9"/>
        <v>886.88798730426333</v>
      </c>
    </row>
    <row r="103" spans="1:13" x14ac:dyDescent="0.2">
      <c r="A103" s="31"/>
      <c r="B103" s="38"/>
      <c r="C103" s="38"/>
      <c r="D103" s="31"/>
      <c r="E103" s="31"/>
      <c r="F103" s="34"/>
      <c r="G103" s="31"/>
      <c r="H103" s="31"/>
      <c r="I103" s="31"/>
      <c r="K103" s="3"/>
      <c r="L103" s="3"/>
      <c r="M103" s="3"/>
    </row>
    <row r="104" spans="1:13" x14ac:dyDescent="0.2">
      <c r="A104" s="21" t="s">
        <v>154</v>
      </c>
      <c r="B104" s="32">
        <f t="shared" ref="B104:C106" si="12">B55</f>
        <v>37744</v>
      </c>
      <c r="C104" s="32">
        <f t="shared" si="12"/>
        <v>42581</v>
      </c>
      <c r="D104" s="32">
        <f t="shared" si="10"/>
        <v>4837</v>
      </c>
      <c r="E104" s="32">
        <f>E55</f>
        <v>47100</v>
      </c>
      <c r="F104" s="34"/>
      <c r="G104" s="32">
        <f>G55</f>
        <v>51967.245479746052</v>
      </c>
      <c r="H104" s="32">
        <f>H55</f>
        <v>51681.122739873026</v>
      </c>
      <c r="I104" s="32">
        <f>I55</f>
        <v>51395</v>
      </c>
      <c r="K104" s="3">
        <f t="shared" si="7"/>
        <v>4867.2454797460523</v>
      </c>
      <c r="L104" s="3">
        <f t="shared" si="8"/>
        <v>4581.1227398730261</v>
      </c>
      <c r="M104" s="3">
        <f t="shared" si="9"/>
        <v>4295</v>
      </c>
    </row>
    <row r="105" spans="1:13" x14ac:dyDescent="0.2">
      <c r="A105" s="31" t="s">
        <v>151</v>
      </c>
      <c r="B105" s="32">
        <f t="shared" si="12"/>
        <v>24453</v>
      </c>
      <c r="C105" s="32">
        <f t="shared" si="12"/>
        <v>27458</v>
      </c>
      <c r="D105" s="32">
        <f t="shared" si="10"/>
        <v>3005</v>
      </c>
      <c r="E105" s="32">
        <f t="shared" ref="E105:I106" si="13">E56</f>
        <v>31242</v>
      </c>
      <c r="F105" s="34"/>
      <c r="G105" s="32">
        <f t="shared" si="13"/>
        <v>34883.366796325616</v>
      </c>
      <c r="H105" s="32">
        <f t="shared" si="13"/>
        <v>34699.917967406727</v>
      </c>
      <c r="I105" s="32">
        <f t="shared" si="13"/>
        <v>34516.469138487839</v>
      </c>
      <c r="K105" s="3">
        <f t="shared" si="7"/>
        <v>3641.3667963256157</v>
      </c>
      <c r="L105" s="3">
        <f t="shared" si="8"/>
        <v>3457.9179674067273</v>
      </c>
      <c r="M105" s="3">
        <f t="shared" si="9"/>
        <v>3274.4691384878388</v>
      </c>
    </row>
    <row r="106" spans="1:13" x14ac:dyDescent="0.2">
      <c r="A106" s="31" t="s">
        <v>152</v>
      </c>
      <c r="B106" s="32">
        <f t="shared" si="12"/>
        <v>13291</v>
      </c>
      <c r="C106" s="32">
        <f t="shared" si="12"/>
        <v>15123</v>
      </c>
      <c r="D106" s="32">
        <f t="shared" si="10"/>
        <v>1832</v>
      </c>
      <c r="E106" s="32">
        <f t="shared" si="13"/>
        <v>15858</v>
      </c>
      <c r="F106" s="34"/>
      <c r="G106" s="32">
        <f t="shared" si="13"/>
        <v>17083.878683420437</v>
      </c>
      <c r="H106" s="32">
        <f t="shared" si="13"/>
        <v>16981.204772466299</v>
      </c>
      <c r="I106" s="32">
        <f t="shared" si="13"/>
        <v>16878.530861512161</v>
      </c>
      <c r="K106" s="3">
        <f t="shared" si="7"/>
        <v>1225.8786834204366</v>
      </c>
      <c r="L106" s="3">
        <f t="shared" si="8"/>
        <v>1123.2047724662989</v>
      </c>
      <c r="M106" s="3">
        <f t="shared" si="9"/>
        <v>1020.5308615121612</v>
      </c>
    </row>
    <row r="107" spans="1:13" ht="14.25" x14ac:dyDescent="0.2">
      <c r="A107" s="30"/>
      <c r="B107" s="67"/>
      <c r="C107" s="67"/>
      <c r="D107" s="30"/>
      <c r="E107" s="30"/>
      <c r="F107" s="69"/>
      <c r="G107" s="72"/>
      <c r="H107" s="72"/>
      <c r="I107" s="74"/>
    </row>
    <row r="108" spans="1:13" ht="14.25" x14ac:dyDescent="0.2">
      <c r="A108" s="30"/>
      <c r="B108" s="67"/>
      <c r="C108" s="67"/>
      <c r="D108" s="30"/>
      <c r="E108" s="30"/>
      <c r="F108" s="69"/>
      <c r="G108" s="72"/>
      <c r="H108" s="72"/>
      <c r="I108" s="74"/>
    </row>
    <row r="109" spans="1:13" s="31" customFormat="1" x14ac:dyDescent="0.2">
      <c r="A109" s="222" t="s">
        <v>206</v>
      </c>
      <c r="B109" s="38"/>
      <c r="C109" s="38"/>
      <c r="E109" s="57" t="s">
        <v>187</v>
      </c>
      <c r="F109" s="34"/>
      <c r="G109" s="45"/>
      <c r="H109" s="58"/>
      <c r="I109" s="56"/>
    </row>
    <row r="110" spans="1:13" s="31" customFormat="1" x14ac:dyDescent="0.2">
      <c r="A110" s="222" t="s">
        <v>207</v>
      </c>
      <c r="B110" s="38"/>
      <c r="C110" s="38"/>
      <c r="E110" s="219" t="s">
        <v>209</v>
      </c>
      <c r="F110" s="34"/>
      <c r="H110" s="59"/>
    </row>
    <row r="111" spans="1:13" s="31" customFormat="1" x14ac:dyDescent="0.2">
      <c r="A111" s="21"/>
      <c r="B111" s="38"/>
      <c r="C111" s="38"/>
      <c r="F111" s="34"/>
      <c r="G111" s="60" t="s">
        <v>77</v>
      </c>
      <c r="H111" s="60" t="s">
        <v>78</v>
      </c>
      <c r="I111" s="61" t="s">
        <v>79</v>
      </c>
    </row>
    <row r="112" spans="1:13" s="31" customFormat="1" x14ac:dyDescent="0.2">
      <c r="A112" s="21" t="s">
        <v>49</v>
      </c>
      <c r="B112" s="38"/>
      <c r="C112" s="62" t="s">
        <v>208</v>
      </c>
      <c r="E112" s="21" t="s">
        <v>49</v>
      </c>
      <c r="F112" s="34"/>
      <c r="G112" s="45"/>
      <c r="I112" s="56"/>
    </row>
    <row r="113" spans="1:9" s="31" customFormat="1" x14ac:dyDescent="0.2">
      <c r="A113" s="31" t="s">
        <v>50</v>
      </c>
      <c r="B113" s="38"/>
      <c r="C113" s="217">
        <v>2046.1639927985595</v>
      </c>
      <c r="E113" s="31" t="s">
        <v>50</v>
      </c>
      <c r="F113" s="34"/>
      <c r="G113" s="45">
        <f>G56*C141</f>
        <v>2253.064680752093</v>
      </c>
      <c r="H113" s="45">
        <f>H56*C141</f>
        <v>2241.2159942541484</v>
      </c>
      <c r="I113" s="45">
        <f>I56*C141</f>
        <v>2229.3673077562034</v>
      </c>
    </row>
    <row r="114" spans="1:9" s="31" customFormat="1" x14ac:dyDescent="0.2">
      <c r="A114" s="31" t="s">
        <v>51</v>
      </c>
      <c r="B114" s="38"/>
      <c r="C114" s="217">
        <v>3937.6582658265825</v>
      </c>
      <c r="E114" s="31" t="s">
        <v>51</v>
      </c>
      <c r="F114" s="34"/>
      <c r="G114" s="45">
        <f>G56*C142</f>
        <v>4335.8200001708365</v>
      </c>
      <c r="H114" s="45">
        <f>H56*C142</f>
        <v>4313.0182704502349</v>
      </c>
      <c r="I114" s="45">
        <f>I56*C142</f>
        <v>4290.2165407296325</v>
      </c>
    </row>
    <row r="115" spans="1:9" s="31" customFormat="1" x14ac:dyDescent="0.2">
      <c r="A115" s="31" t="s">
        <v>52</v>
      </c>
      <c r="B115" s="38"/>
      <c r="C115" s="217">
        <v>5193.1020302030201</v>
      </c>
      <c r="E115" s="31" t="s">
        <v>52</v>
      </c>
      <c r="F115" s="34"/>
      <c r="G115" s="45">
        <f>G56*C143</f>
        <v>5718.2096884569182</v>
      </c>
      <c r="H115" s="45">
        <f>H56*C143</f>
        <v>5688.1380822101682</v>
      </c>
      <c r="I115" s="45">
        <f>I56*C143</f>
        <v>5658.0664759634174</v>
      </c>
    </row>
    <row r="116" spans="1:9" s="31" customFormat="1" x14ac:dyDescent="0.2">
      <c r="A116" s="31" t="s">
        <v>53</v>
      </c>
      <c r="B116" s="38"/>
      <c r="C116" s="217">
        <v>8485.8625775051678</v>
      </c>
      <c r="E116" s="31" t="s">
        <v>53</v>
      </c>
      <c r="F116" s="34"/>
      <c r="G116" s="45">
        <f>G56*C144</f>
        <v>9343.922249820891</v>
      </c>
      <c r="H116" s="45">
        <f>H56*C144</f>
        <v>9294.7833119354764</v>
      </c>
      <c r="I116" s="45">
        <f>I56*C144</f>
        <v>9245.6443740500617</v>
      </c>
    </row>
    <row r="117" spans="1:9" s="31" customFormat="1" x14ac:dyDescent="0.2">
      <c r="A117" s="31" t="s">
        <v>54</v>
      </c>
      <c r="B117" s="38"/>
      <c r="C117" s="217">
        <v>11662.430097203887</v>
      </c>
      <c r="E117" s="31" t="s">
        <v>54</v>
      </c>
      <c r="F117" s="34"/>
      <c r="G117" s="45">
        <f>G56*C145</f>
        <v>12841.692765696673</v>
      </c>
      <c r="H117" s="45">
        <f>H56*C145</f>
        <v>12774.159333131003</v>
      </c>
      <c r="I117" s="45">
        <f>I56*C145</f>
        <v>12706.625900565332</v>
      </c>
    </row>
    <row r="118" spans="1:9" s="31" customFormat="1" x14ac:dyDescent="0.2">
      <c r="A118" s="31" t="s">
        <v>55</v>
      </c>
      <c r="B118" s="38"/>
      <c r="C118" s="217">
        <v>14640.822504900196</v>
      </c>
      <c r="E118" s="31" t="s">
        <v>55</v>
      </c>
      <c r="F118" s="34"/>
      <c r="G118" s="45">
        <f>G56*C146</f>
        <v>16121.249420401904</v>
      </c>
      <c r="H118" s="45">
        <f>H56*C146</f>
        <v>16036.469062354769</v>
      </c>
      <c r="I118" s="45">
        <f>I56*C146</f>
        <v>15951.688704307633</v>
      </c>
    </row>
    <row r="119" spans="1:9" s="31" customFormat="1" x14ac:dyDescent="0.2">
      <c r="A119" s="31" t="s">
        <v>56</v>
      </c>
      <c r="B119" s="38"/>
      <c r="C119" s="217">
        <v>31680</v>
      </c>
      <c r="E119" s="31" t="s">
        <v>56</v>
      </c>
      <c r="F119" s="34"/>
      <c r="G119" s="45">
        <f>G56*C147</f>
        <v>34883.366796325616</v>
      </c>
      <c r="H119" s="45">
        <f>H56*C147</f>
        <v>34699.917967406727</v>
      </c>
      <c r="I119" s="45">
        <f>I56*C147</f>
        <v>34516.469138487839</v>
      </c>
    </row>
    <row r="120" spans="1:9" s="31" customFormat="1" x14ac:dyDescent="0.2">
      <c r="B120" s="38"/>
      <c r="C120" s="32"/>
      <c r="F120" s="34"/>
      <c r="G120" s="45"/>
      <c r="H120" s="45"/>
      <c r="I120" s="45"/>
    </row>
    <row r="121" spans="1:9" s="31" customFormat="1" x14ac:dyDescent="0.2">
      <c r="A121" s="21" t="s">
        <v>0</v>
      </c>
      <c r="B121" s="38"/>
      <c r="C121" s="32"/>
      <c r="E121" s="21" t="s">
        <v>0</v>
      </c>
      <c r="F121" s="34"/>
      <c r="G121" s="45"/>
      <c r="H121" s="45"/>
      <c r="I121" s="45"/>
    </row>
    <row r="122" spans="1:9" s="31" customFormat="1" x14ac:dyDescent="0.2">
      <c r="A122" s="31" t="s">
        <v>50</v>
      </c>
      <c r="B122" s="38"/>
      <c r="C122" s="217">
        <v>3567.6004600920182</v>
      </c>
      <c r="E122" s="31" t="s">
        <v>50</v>
      </c>
      <c r="F122" s="34"/>
      <c r="G122" s="45">
        <f>G57*C150</f>
        <v>3877.8681333032368</v>
      </c>
      <c r="H122" s="45">
        <f>H57*C150</f>
        <v>3854.5621912049082</v>
      </c>
      <c r="I122" s="45">
        <f>I57*C150</f>
        <v>3831.2562491065796</v>
      </c>
    </row>
    <row r="123" spans="1:9" s="31" customFormat="1" x14ac:dyDescent="0.2">
      <c r="A123" s="31" t="s">
        <v>51</v>
      </c>
      <c r="B123" s="38"/>
      <c r="C123" s="217">
        <v>6581.4608460846084</v>
      </c>
      <c r="E123" s="31" t="s">
        <v>51</v>
      </c>
      <c r="F123" s="34"/>
      <c r="G123" s="45">
        <f>G57*C151</f>
        <v>7153.8384331737016</v>
      </c>
      <c r="H123" s="45">
        <f>H57*C151</f>
        <v>7110.8439479119443</v>
      </c>
      <c r="I123" s="45">
        <f>I57*C151</f>
        <v>7067.8494626501879</v>
      </c>
    </row>
    <row r="124" spans="1:9" s="31" customFormat="1" x14ac:dyDescent="0.2">
      <c r="A124" s="31" t="s">
        <v>52</v>
      </c>
      <c r="B124" s="38"/>
      <c r="C124" s="217">
        <v>8100.0886288628863</v>
      </c>
      <c r="E124" s="31" t="s">
        <v>52</v>
      </c>
      <c r="F124" s="34"/>
      <c r="G124" s="45">
        <f>G57*C152</f>
        <v>8804.5384908345713</v>
      </c>
      <c r="H124" s="45">
        <f>H57*C152</f>
        <v>8751.6233175444704</v>
      </c>
      <c r="I124" s="45">
        <f>I57*C152</f>
        <v>8698.7081442543713</v>
      </c>
    </row>
    <row r="125" spans="1:9" s="31" customFormat="1" x14ac:dyDescent="0.2">
      <c r="A125" s="31" t="s">
        <v>53</v>
      </c>
      <c r="B125" s="38"/>
      <c r="C125" s="217">
        <v>9980.7040869391294</v>
      </c>
      <c r="E125" s="31" t="s">
        <v>53</v>
      </c>
      <c r="F125" s="34"/>
      <c r="G125" s="45">
        <f>G57*C153</f>
        <v>10848.707628452417</v>
      </c>
      <c r="H125" s="45">
        <f>H57*C153</f>
        <v>10783.507022568216</v>
      </c>
      <c r="I125" s="45">
        <f>I57*C153</f>
        <v>10718.306416684014</v>
      </c>
    </row>
    <row r="126" spans="1:9" s="31" customFormat="1" x14ac:dyDescent="0.2">
      <c r="A126" s="31" t="s">
        <v>54</v>
      </c>
      <c r="B126" s="38"/>
      <c r="C126" s="217">
        <v>11477.057842313692</v>
      </c>
      <c r="E126" s="31" t="s">
        <v>54</v>
      </c>
      <c r="F126" s="34"/>
      <c r="G126" s="45">
        <f>G57*C154</f>
        <v>12475.196527370759</v>
      </c>
      <c r="H126" s="45">
        <f>H57*C154</f>
        <v>12400.220742238915</v>
      </c>
      <c r="I126" s="45">
        <f>I57*C154</f>
        <v>12325.24495710707</v>
      </c>
    </row>
    <row r="127" spans="1:9" s="31" customFormat="1" x14ac:dyDescent="0.2">
      <c r="A127" s="31" t="s">
        <v>55</v>
      </c>
      <c r="B127" s="38"/>
      <c r="C127" s="217">
        <v>12783.716084643385</v>
      </c>
      <c r="E127" s="31" t="s">
        <v>55</v>
      </c>
      <c r="F127" s="34"/>
      <c r="G127" s="45">
        <f>G57*C155</f>
        <v>13895.492442154233</v>
      </c>
      <c r="H127" s="45">
        <f>H57*C155</f>
        <v>13811.980695196311</v>
      </c>
      <c r="I127" s="45">
        <f>I57*C155</f>
        <v>13728.468948238391</v>
      </c>
    </row>
    <row r="128" spans="1:9" s="31" customFormat="1" x14ac:dyDescent="0.2">
      <c r="A128" s="31" t="s">
        <v>57</v>
      </c>
      <c r="B128" s="38"/>
      <c r="C128" s="217">
        <v>15717</v>
      </c>
      <c r="E128" s="31" t="s">
        <v>57</v>
      </c>
      <c r="F128" s="34"/>
      <c r="G128" s="45">
        <f>G57*C156</f>
        <v>17083.878683420437</v>
      </c>
      <c r="H128" s="45">
        <f>H57*C156</f>
        <v>16981.204772466299</v>
      </c>
      <c r="I128" s="45">
        <f>I57*C156</f>
        <v>16878.530861512161</v>
      </c>
    </row>
    <row r="129" spans="1:9" s="31" customFormat="1" x14ac:dyDescent="0.2">
      <c r="B129" s="38"/>
      <c r="C129" s="32"/>
      <c r="F129" s="34"/>
      <c r="G129" s="45"/>
      <c r="H129" s="45"/>
      <c r="I129" s="45"/>
    </row>
    <row r="130" spans="1:9" s="31" customFormat="1" x14ac:dyDescent="0.2">
      <c r="A130" s="21" t="s">
        <v>58</v>
      </c>
      <c r="B130" s="38"/>
      <c r="C130" s="38"/>
      <c r="E130" s="21" t="s">
        <v>58</v>
      </c>
      <c r="F130" s="34"/>
      <c r="G130" s="45"/>
      <c r="H130" s="45"/>
      <c r="I130" s="45"/>
    </row>
    <row r="131" spans="1:9" s="31" customFormat="1" x14ac:dyDescent="0.2">
      <c r="A131" s="31" t="s">
        <v>50</v>
      </c>
      <c r="B131" s="38"/>
      <c r="C131" s="32">
        <f>C113+C122</f>
        <v>5613.7644528905776</v>
      </c>
      <c r="E131" s="31" t="s">
        <v>50</v>
      </c>
      <c r="F131" s="34"/>
      <c r="G131" s="32">
        <f>G113+G122</f>
        <v>6130.9328140553298</v>
      </c>
      <c r="H131" s="32">
        <f>H113+H122</f>
        <v>6095.7781854590567</v>
      </c>
      <c r="I131" s="32">
        <f>I113+I122</f>
        <v>6060.6235568627835</v>
      </c>
    </row>
    <row r="132" spans="1:9" s="31" customFormat="1" x14ac:dyDescent="0.2">
      <c r="A132" s="31" t="s">
        <v>51</v>
      </c>
      <c r="B132" s="38"/>
      <c r="C132" s="32">
        <f t="shared" ref="C132:C137" si="14">C114+C123</f>
        <v>10519.11911191119</v>
      </c>
      <c r="E132" s="31" t="s">
        <v>51</v>
      </c>
      <c r="F132" s="34"/>
      <c r="G132" s="32">
        <f t="shared" ref="G132:I137" si="15">G114+G123</f>
        <v>11489.658433344539</v>
      </c>
      <c r="H132" s="32">
        <f t="shared" si="15"/>
        <v>11423.862218362179</v>
      </c>
      <c r="I132" s="32">
        <f t="shared" si="15"/>
        <v>11358.066003379819</v>
      </c>
    </row>
    <row r="133" spans="1:9" s="31" customFormat="1" x14ac:dyDescent="0.2">
      <c r="A133" s="31" t="s">
        <v>52</v>
      </c>
      <c r="B133" s="38"/>
      <c r="C133" s="32">
        <f t="shared" si="14"/>
        <v>13293.190659065905</v>
      </c>
      <c r="E133" s="31" t="s">
        <v>52</v>
      </c>
      <c r="F133" s="34"/>
      <c r="G133" s="32">
        <f t="shared" si="15"/>
        <v>14522.74817929149</v>
      </c>
      <c r="H133" s="32">
        <f t="shared" si="15"/>
        <v>14439.76139975464</v>
      </c>
      <c r="I133" s="32">
        <f t="shared" si="15"/>
        <v>14356.774620217788</v>
      </c>
    </row>
    <row r="134" spans="1:9" s="31" customFormat="1" x14ac:dyDescent="0.2">
      <c r="A134" s="31" t="s">
        <v>53</v>
      </c>
      <c r="B134" s="38"/>
      <c r="C134" s="32">
        <f t="shared" si="14"/>
        <v>18466.566664444297</v>
      </c>
      <c r="E134" s="31" t="s">
        <v>53</v>
      </c>
      <c r="F134" s="34"/>
      <c r="G134" s="32">
        <f t="shared" si="15"/>
        <v>20192.629878273307</v>
      </c>
      <c r="H134" s="32">
        <f t="shared" si="15"/>
        <v>20078.29033450369</v>
      </c>
      <c r="I134" s="32">
        <f t="shared" si="15"/>
        <v>19963.950790734074</v>
      </c>
    </row>
    <row r="135" spans="1:9" s="31" customFormat="1" x14ac:dyDescent="0.2">
      <c r="A135" s="31" t="s">
        <v>54</v>
      </c>
      <c r="B135" s="38"/>
      <c r="C135" s="32">
        <f t="shared" si="14"/>
        <v>23139.487939517581</v>
      </c>
      <c r="E135" s="31" t="s">
        <v>54</v>
      </c>
      <c r="F135" s="34"/>
      <c r="G135" s="32">
        <f t="shared" si="15"/>
        <v>25316.889293067434</v>
      </c>
      <c r="H135" s="32">
        <f t="shared" si="15"/>
        <v>25174.380075369918</v>
      </c>
      <c r="I135" s="32">
        <f t="shared" si="15"/>
        <v>25031.870857672402</v>
      </c>
    </row>
    <row r="136" spans="1:9" s="31" customFormat="1" x14ac:dyDescent="0.2">
      <c r="A136" s="31" t="s">
        <v>55</v>
      </c>
      <c r="B136" s="38"/>
      <c r="C136" s="32">
        <f t="shared" si="14"/>
        <v>27424.538589543583</v>
      </c>
      <c r="E136" s="31" t="s">
        <v>55</v>
      </c>
      <c r="F136" s="34"/>
      <c r="G136" s="32">
        <f t="shared" si="15"/>
        <v>30016.741862556137</v>
      </c>
      <c r="H136" s="32">
        <f t="shared" si="15"/>
        <v>29848.44975755108</v>
      </c>
      <c r="I136" s="32">
        <f t="shared" si="15"/>
        <v>29680.157652546026</v>
      </c>
    </row>
    <row r="137" spans="1:9" s="31" customFormat="1" x14ac:dyDescent="0.2">
      <c r="A137" s="31" t="s">
        <v>59</v>
      </c>
      <c r="B137" s="38"/>
      <c r="C137" s="32">
        <f t="shared" si="14"/>
        <v>47397</v>
      </c>
      <c r="E137" s="31" t="s">
        <v>59</v>
      </c>
      <c r="F137" s="34"/>
      <c r="G137" s="32">
        <f t="shared" si="15"/>
        <v>51967.245479746052</v>
      </c>
      <c r="H137" s="32">
        <f t="shared" si="15"/>
        <v>51681.122739873026</v>
      </c>
      <c r="I137" s="32">
        <f t="shared" si="15"/>
        <v>51395</v>
      </c>
    </row>
    <row r="138" spans="1:9" s="31" customFormat="1" x14ac:dyDescent="0.2">
      <c r="B138" s="38"/>
      <c r="C138" s="38"/>
      <c r="F138" s="34"/>
      <c r="G138" s="45"/>
      <c r="H138" s="45"/>
      <c r="I138" s="56"/>
    </row>
    <row r="139" spans="1:9" s="31" customFormat="1" x14ac:dyDescent="0.2">
      <c r="A139" s="21" t="s">
        <v>60</v>
      </c>
      <c r="B139" s="38"/>
      <c r="C139" s="62"/>
      <c r="F139" s="34"/>
      <c r="G139" s="45"/>
      <c r="H139" s="45"/>
      <c r="I139" s="56"/>
    </row>
    <row r="140" spans="1:9" s="31" customFormat="1" x14ac:dyDescent="0.2">
      <c r="A140" s="21" t="s">
        <v>49</v>
      </c>
      <c r="B140" s="38"/>
      <c r="C140" s="62"/>
      <c r="F140" s="34"/>
      <c r="G140" s="45"/>
      <c r="H140" s="45"/>
      <c r="I140" s="56"/>
    </row>
    <row r="141" spans="1:9" s="31" customFormat="1" x14ac:dyDescent="0.2">
      <c r="A141" s="31" t="s">
        <v>50</v>
      </c>
      <c r="B141" s="38"/>
      <c r="C141" s="38">
        <f>C113/C119</f>
        <v>6.4588509873691899E-2</v>
      </c>
      <c r="D141" s="38">
        <v>8.3898490483482829E-2</v>
      </c>
      <c r="E141" s="38">
        <f>+C141-D141</f>
        <v>-1.930998060979093E-2</v>
      </c>
      <c r="F141" s="34"/>
      <c r="G141" s="45"/>
      <c r="H141" s="45"/>
      <c r="I141" s="56"/>
    </row>
    <row r="142" spans="1:9" s="31" customFormat="1" x14ac:dyDescent="0.2">
      <c r="A142" s="31" t="s">
        <v>51</v>
      </c>
      <c r="B142" s="38"/>
      <c r="C142" s="38">
        <f>C114/C119</f>
        <v>0.1242947684920007</v>
      </c>
      <c r="D142" s="38">
        <v>0.1971851527747393</v>
      </c>
      <c r="E142" s="38">
        <f t="shared" ref="E142:E147" si="16">+C142-D142</f>
        <v>-7.2890384282738599E-2</v>
      </c>
      <c r="F142" s="34"/>
      <c r="G142" s="45"/>
      <c r="H142" s="45"/>
      <c r="I142" s="56"/>
    </row>
    <row r="143" spans="1:9" s="31" customFormat="1" x14ac:dyDescent="0.2">
      <c r="A143" s="31" t="s">
        <v>52</v>
      </c>
      <c r="B143" s="38"/>
      <c r="C143" s="38">
        <f>C115/C119</f>
        <v>0.16392367519580239</v>
      </c>
      <c r="D143" s="38">
        <v>0.26354554072777658</v>
      </c>
      <c r="E143" s="38">
        <f t="shared" si="16"/>
        <v>-9.9621865531974191E-2</v>
      </c>
      <c r="F143" s="34"/>
      <c r="G143" s="45"/>
      <c r="H143" s="45"/>
      <c r="I143" s="56"/>
    </row>
    <row r="144" spans="1:9" s="31" customFormat="1" x14ac:dyDescent="0.2">
      <c r="A144" s="31" t="s">
        <v>53</v>
      </c>
      <c r="B144" s="38"/>
      <c r="C144" s="38">
        <f>C116/C119</f>
        <v>0.26786182378488532</v>
      </c>
      <c r="D144" s="38">
        <v>0.40720484212061547</v>
      </c>
      <c r="E144" s="38">
        <f t="shared" si="16"/>
        <v>-0.13934301833573015</v>
      </c>
      <c r="F144" s="34"/>
      <c r="G144" s="45"/>
      <c r="H144" s="45"/>
      <c r="I144" s="56"/>
    </row>
    <row r="145" spans="1:9" s="31" customFormat="1" x14ac:dyDescent="0.2">
      <c r="A145" s="31" t="s">
        <v>54</v>
      </c>
      <c r="B145" s="38"/>
      <c r="C145" s="38">
        <f>C117/C119</f>
        <v>0.36813226316931463</v>
      </c>
      <c r="D145" s="38">
        <v>0.53638882811930289</v>
      </c>
      <c r="E145" s="38">
        <f t="shared" si="16"/>
        <v>-0.16825656494998825</v>
      </c>
      <c r="F145" s="34"/>
      <c r="G145" s="45"/>
      <c r="H145" s="45"/>
      <c r="I145" s="56"/>
    </row>
    <row r="146" spans="1:9" s="31" customFormat="1" x14ac:dyDescent="0.2">
      <c r="A146" s="31" t="s">
        <v>55</v>
      </c>
      <c r="B146" s="38"/>
      <c r="C146" s="38">
        <f>C118/C119</f>
        <v>0.46214717502841529</v>
      </c>
      <c r="D146" s="38">
        <v>0.65933785459053451</v>
      </c>
      <c r="E146" s="38">
        <f t="shared" si="16"/>
        <v>-0.19719067956211922</v>
      </c>
      <c r="F146" s="34"/>
      <c r="G146" s="45"/>
      <c r="H146" s="45"/>
      <c r="I146" s="56"/>
    </row>
    <row r="147" spans="1:9" s="31" customFormat="1" x14ac:dyDescent="0.2">
      <c r="A147" s="31" t="s">
        <v>56</v>
      </c>
      <c r="B147" s="38"/>
      <c r="C147" s="38">
        <f>C119/C119</f>
        <v>1</v>
      </c>
      <c r="D147" s="38">
        <v>1</v>
      </c>
      <c r="E147" s="38">
        <f t="shared" si="16"/>
        <v>0</v>
      </c>
      <c r="F147" s="34"/>
      <c r="G147" s="45"/>
      <c r="H147" s="45"/>
      <c r="I147" s="56"/>
    </row>
    <row r="148" spans="1:9" s="31" customFormat="1" x14ac:dyDescent="0.2">
      <c r="B148" s="38"/>
      <c r="C148" s="38"/>
      <c r="D148" s="38"/>
      <c r="F148" s="34"/>
      <c r="G148" s="45"/>
      <c r="H148" s="45"/>
      <c r="I148" s="56"/>
    </row>
    <row r="149" spans="1:9" s="31" customFormat="1" x14ac:dyDescent="0.2">
      <c r="A149" s="21" t="s">
        <v>0</v>
      </c>
      <c r="B149" s="38"/>
      <c r="C149" s="38"/>
      <c r="D149" s="38"/>
      <c r="F149" s="34"/>
      <c r="G149" s="45"/>
      <c r="H149" s="45"/>
      <c r="I149" s="56"/>
    </row>
    <row r="150" spans="1:9" s="31" customFormat="1" x14ac:dyDescent="0.2">
      <c r="A150" s="31" t="s">
        <v>50</v>
      </c>
      <c r="B150" s="38"/>
      <c r="C150" s="38">
        <f>C122/C128</f>
        <v>0.22698991283909259</v>
      </c>
      <c r="D150" s="38">
        <v>0.27581656219069611</v>
      </c>
      <c r="E150" s="38">
        <f>+C150-D150</f>
        <v>-4.8826649351603524E-2</v>
      </c>
      <c r="F150" s="34"/>
      <c r="G150" s="45"/>
      <c r="H150" s="45"/>
      <c r="I150" s="56"/>
    </row>
    <row r="151" spans="1:9" s="31" customFormat="1" x14ac:dyDescent="0.2">
      <c r="A151" s="31" t="s">
        <v>51</v>
      </c>
      <c r="B151" s="38"/>
      <c r="C151" s="38">
        <f>C123/C128</f>
        <v>0.41874790647608373</v>
      </c>
      <c r="D151" s="38">
        <v>0.4748267898383372</v>
      </c>
      <c r="E151" s="38">
        <f t="shared" ref="E151:E156" si="17">+C151-D151</f>
        <v>-5.6078883362253473E-2</v>
      </c>
      <c r="F151" s="34"/>
      <c r="G151" s="45"/>
      <c r="H151" s="45"/>
      <c r="I151" s="56"/>
    </row>
    <row r="152" spans="1:9" s="31" customFormat="1" x14ac:dyDescent="0.2">
      <c r="A152" s="31" t="s">
        <v>52</v>
      </c>
      <c r="B152" s="38"/>
      <c r="C152" s="38">
        <f>C124/C128</f>
        <v>0.51537116681700623</v>
      </c>
      <c r="D152" s="38">
        <v>0.57156054107555265</v>
      </c>
      <c r="E152" s="38">
        <f t="shared" si="17"/>
        <v>-5.6189374258546421E-2</v>
      </c>
      <c r="F152" s="34"/>
      <c r="G152" s="45"/>
      <c r="H152" s="45"/>
      <c r="I152" s="56"/>
    </row>
    <row r="153" spans="1:9" s="31" customFormat="1" x14ac:dyDescent="0.2">
      <c r="A153" s="31" t="s">
        <v>53</v>
      </c>
      <c r="B153" s="38"/>
      <c r="C153" s="38">
        <f>C125/C128</f>
        <v>0.63502602830941846</v>
      </c>
      <c r="D153" s="38">
        <v>0.73513691850874296</v>
      </c>
      <c r="E153" s="38">
        <f t="shared" si="17"/>
        <v>-0.10011089019932451</v>
      </c>
      <c r="F153" s="34"/>
      <c r="G153" s="45"/>
      <c r="H153" s="45"/>
      <c r="I153" s="56"/>
    </row>
    <row r="154" spans="1:9" s="31" customFormat="1" x14ac:dyDescent="0.2">
      <c r="A154" s="31" t="s">
        <v>54</v>
      </c>
      <c r="B154" s="38"/>
      <c r="C154" s="38">
        <f>C126/C128</f>
        <v>0.73023209533076872</v>
      </c>
      <c r="D154" s="38">
        <v>0.83358627515671391</v>
      </c>
      <c r="E154" s="38">
        <f t="shared" si="17"/>
        <v>-0.10335417982594519</v>
      </c>
      <c r="F154" s="34"/>
      <c r="G154" s="45"/>
      <c r="H154" s="45"/>
      <c r="I154" s="56"/>
    </row>
    <row r="155" spans="1:9" s="31" customFormat="1" x14ac:dyDescent="0.2">
      <c r="A155" s="31" t="s">
        <v>55</v>
      </c>
      <c r="B155" s="38"/>
      <c r="C155" s="38">
        <f>C127/C128</f>
        <v>0.81336871442663261</v>
      </c>
      <c r="D155" s="38">
        <v>0.90768723193665457</v>
      </c>
      <c r="E155" s="38">
        <f t="shared" si="17"/>
        <v>-9.431851751002196E-2</v>
      </c>
      <c r="F155" s="34"/>
      <c r="G155" s="45"/>
      <c r="H155" s="45"/>
      <c r="I155" s="56"/>
    </row>
    <row r="156" spans="1:9" s="31" customFormat="1" x14ac:dyDescent="0.2">
      <c r="A156" s="31" t="s">
        <v>57</v>
      </c>
      <c r="B156" s="38"/>
      <c r="C156" s="38">
        <f>C128/C128</f>
        <v>1</v>
      </c>
      <c r="D156" s="38">
        <v>1</v>
      </c>
      <c r="E156" s="38">
        <f t="shared" si="17"/>
        <v>0</v>
      </c>
      <c r="F156" s="34"/>
      <c r="G156" s="45"/>
      <c r="H156" s="45"/>
      <c r="I156" s="56"/>
    </row>
    <row r="157" spans="1:9" s="31" customFormat="1" x14ac:dyDescent="0.2">
      <c r="B157" s="38"/>
      <c r="C157" s="38"/>
      <c r="D157" s="38"/>
      <c r="F157" s="34"/>
      <c r="G157" s="45"/>
      <c r="H157" s="45"/>
      <c r="I157" s="56"/>
    </row>
    <row r="158" spans="1:9" s="31" customFormat="1" x14ac:dyDescent="0.2">
      <c r="A158" s="21" t="s">
        <v>58</v>
      </c>
      <c r="B158" s="38"/>
      <c r="C158" s="38"/>
      <c r="D158" s="38"/>
      <c r="F158" s="34"/>
      <c r="G158" s="45"/>
      <c r="H158" s="45"/>
      <c r="I158" s="56"/>
    </row>
    <row r="159" spans="1:9" s="31" customFormat="1" x14ac:dyDescent="0.2">
      <c r="A159" s="31" t="s">
        <v>50</v>
      </c>
      <c r="B159" s="38"/>
      <c r="C159" s="38">
        <f>C131/C137</f>
        <v>0.11844134550479096</v>
      </c>
      <c r="D159" s="38">
        <v>0.1522040346633475</v>
      </c>
      <c r="E159" s="38">
        <f>+C159-D159</f>
        <v>-3.3762689158556541E-2</v>
      </c>
      <c r="F159" s="34"/>
      <c r="G159" s="45"/>
      <c r="H159" s="45"/>
      <c r="I159" s="56"/>
    </row>
    <row r="160" spans="1:9" s="31" customFormat="1" x14ac:dyDescent="0.2">
      <c r="A160" s="31" t="s">
        <v>51</v>
      </c>
      <c r="B160" s="38"/>
      <c r="C160" s="38">
        <f>C132/C137</f>
        <v>0.22193639074015634</v>
      </c>
      <c r="D160" s="38">
        <v>0.29600056363166671</v>
      </c>
      <c r="E160" s="38">
        <f t="shared" ref="E160:E165" si="18">+C160-D160</f>
        <v>-7.4064172891510377E-2</v>
      </c>
      <c r="F160" s="34"/>
      <c r="G160" s="45"/>
      <c r="H160" s="45"/>
      <c r="I160" s="56"/>
    </row>
    <row r="161" spans="1:9" s="31" customFormat="1" x14ac:dyDescent="0.2">
      <c r="A161" s="31" t="s">
        <v>52</v>
      </c>
      <c r="B161" s="38"/>
      <c r="C161" s="38">
        <f>C133/C137</f>
        <v>0.28046481125526734</v>
      </c>
      <c r="D161" s="38">
        <v>0.37317113266480356</v>
      </c>
      <c r="E161" s="38">
        <f t="shared" si="18"/>
        <v>-9.2706321409536219E-2</v>
      </c>
      <c r="F161" s="34"/>
      <c r="G161" s="45"/>
      <c r="H161" s="45"/>
      <c r="I161" s="56"/>
    </row>
    <row r="162" spans="1:9" s="31" customFormat="1" x14ac:dyDescent="0.2">
      <c r="A162" s="31" t="s">
        <v>53</v>
      </c>
      <c r="B162" s="38"/>
      <c r="C162" s="38">
        <f>C134/C137</f>
        <v>0.38961467317434217</v>
      </c>
      <c r="D162" s="38">
        <v>0.52391911885582776</v>
      </c>
      <c r="E162" s="38">
        <f t="shared" si="18"/>
        <v>-0.13430444568148558</v>
      </c>
      <c r="F162" s="34"/>
      <c r="G162" s="45"/>
      <c r="H162" s="45"/>
      <c r="I162" s="56"/>
    </row>
    <row r="163" spans="1:9" s="31" customFormat="1" x14ac:dyDescent="0.2">
      <c r="A163" s="31" t="s">
        <v>54</v>
      </c>
      <c r="B163" s="38"/>
      <c r="C163" s="38">
        <f>C135/C137</f>
        <v>0.488205750142785</v>
      </c>
      <c r="D163" s="38">
        <v>0.64216434560015034</v>
      </c>
      <c r="E163" s="38">
        <f t="shared" si="18"/>
        <v>-0.15395859545736534</v>
      </c>
      <c r="F163" s="34"/>
      <c r="G163" s="45"/>
      <c r="H163" s="45"/>
      <c r="I163" s="56"/>
    </row>
    <row r="164" spans="1:9" s="31" customFormat="1" x14ac:dyDescent="0.2">
      <c r="A164" s="31" t="s">
        <v>55</v>
      </c>
      <c r="B164" s="38"/>
      <c r="C164" s="38">
        <f>C136/C137</f>
        <v>0.57861338459277134</v>
      </c>
      <c r="D164" s="38">
        <v>0.74772785984359225</v>
      </c>
      <c r="E164" s="38">
        <f t="shared" si="18"/>
        <v>-0.16911447525082091</v>
      </c>
      <c r="F164" s="34"/>
      <c r="G164" s="45"/>
      <c r="H164" s="45"/>
      <c r="I164" s="56"/>
    </row>
    <row r="165" spans="1:9" s="31" customFormat="1" x14ac:dyDescent="0.2">
      <c r="A165" s="31" t="s">
        <v>59</v>
      </c>
      <c r="B165" s="38"/>
      <c r="C165" s="38">
        <f>C137/C137</f>
        <v>1</v>
      </c>
      <c r="D165" s="38">
        <v>1</v>
      </c>
      <c r="E165" s="38">
        <f t="shared" si="18"/>
        <v>0</v>
      </c>
      <c r="F165" s="34"/>
      <c r="G165" s="45"/>
      <c r="H165" s="45"/>
      <c r="I165" s="56"/>
    </row>
    <row r="166" spans="1:9" s="31" customFormat="1" x14ac:dyDescent="0.2">
      <c r="B166" s="38"/>
      <c r="C166" s="38"/>
      <c r="F166" s="34"/>
      <c r="G166" s="45"/>
      <c r="H166" s="45"/>
      <c r="I166" s="56"/>
    </row>
    <row r="167" spans="1:9" s="31" customFormat="1" x14ac:dyDescent="0.2"/>
    <row r="168" spans="1:9" s="31" customFormat="1" x14ac:dyDescent="0.2"/>
    <row r="169" spans="1:9" s="31" customFormat="1" x14ac:dyDescent="0.2"/>
    <row r="170" spans="1:9" s="31" customFormat="1" x14ac:dyDescent="0.2"/>
    <row r="171" spans="1:9" s="31" customFormat="1" x14ac:dyDescent="0.2"/>
    <row r="172" spans="1:9" s="31" customFormat="1" x14ac:dyDescent="0.2"/>
    <row r="173" spans="1:9" s="31" customFormat="1" x14ac:dyDescent="0.2"/>
    <row r="174" spans="1:9" s="31" customFormat="1" x14ac:dyDescent="0.2"/>
    <row r="175" spans="1:9" s="31" customFormat="1" x14ac:dyDescent="0.2"/>
    <row r="176" spans="1:9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</sheetData>
  <mergeCells count="1">
    <mergeCell ref="I2:I21"/>
  </mergeCells>
  <phoneticPr fontId="0" type="noConversion"/>
  <printOptions horizontalCentered="1" verticalCentered="1"/>
  <pageMargins left="0.75" right="0.75" top="0.75" bottom="0.75" header="0.5" footer="0.5"/>
  <pageSetup scale="70" orientation="landscape" horizontalDpi="4294967293" verticalDpi="300" r:id="rId1"/>
  <headerFooter alignWithMargins="0">
    <oddFooter>&amp;R&amp;P of &amp;N</oddFooter>
  </headerFooter>
  <rowBreaks count="4" manualBreakCount="4">
    <brk id="43" max="8" man="1"/>
    <brk id="77" max="8" man="1"/>
    <brk id="108" max="16383" man="1"/>
    <brk id="13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zoomScaleNormal="100" workbookViewId="0">
      <selection activeCell="H150" sqref="H150:H160"/>
    </sheetView>
  </sheetViews>
  <sheetFormatPr defaultRowHeight="12.75" x14ac:dyDescent="0.2"/>
  <cols>
    <col min="1" max="1" width="55.7109375" customWidth="1"/>
    <col min="2" max="2" width="11.28515625" bestFit="1" customWidth="1"/>
    <col min="3" max="3" width="9.28515625" bestFit="1" customWidth="1"/>
    <col min="4" max="6" width="11.7109375" customWidth="1"/>
    <col min="7" max="9" width="15.7109375" customWidth="1"/>
  </cols>
  <sheetData>
    <row r="1" spans="1:9" ht="78.75" x14ac:dyDescent="0.2">
      <c r="A1" s="171" t="s">
        <v>23</v>
      </c>
      <c r="B1" s="172">
        <v>1990</v>
      </c>
      <c r="C1" s="172">
        <v>2000</v>
      </c>
      <c r="D1" s="138" t="s">
        <v>80</v>
      </c>
      <c r="E1" s="137">
        <v>2010</v>
      </c>
      <c r="F1" s="138" t="s">
        <v>182</v>
      </c>
      <c r="G1" s="137" t="s">
        <v>183</v>
      </c>
      <c r="H1" s="137" t="s">
        <v>213</v>
      </c>
      <c r="I1" s="173" t="s">
        <v>184</v>
      </c>
    </row>
    <row r="2" spans="1:9" ht="12.75" customHeight="1" x14ac:dyDescent="0.2">
      <c r="A2" s="37" t="s">
        <v>28</v>
      </c>
      <c r="B2" s="40">
        <v>11052</v>
      </c>
      <c r="C2" s="40">
        <v>11871</v>
      </c>
      <c r="D2" s="40">
        <f>C2-B2</f>
        <v>819</v>
      </c>
      <c r="E2" s="217">
        <v>10479</v>
      </c>
      <c r="F2" s="70">
        <f>E2-C2</f>
        <v>-1392</v>
      </c>
      <c r="G2" s="37" t="s">
        <v>196</v>
      </c>
      <c r="H2" s="37"/>
      <c r="I2" s="250" t="s">
        <v>170</v>
      </c>
    </row>
    <row r="3" spans="1:9" x14ac:dyDescent="0.2">
      <c r="A3" s="37" t="s">
        <v>33</v>
      </c>
      <c r="B3" s="43">
        <f>B2/'STATE TOTALS'!$B$2</f>
        <v>2.5702265808684167E-2</v>
      </c>
      <c r="C3" s="43">
        <f>C2/'STATE TOTALS'!$C$2</f>
        <v>2.2419094095606454E-2</v>
      </c>
      <c r="D3" s="43">
        <f>D2/'STATE TOTALS'!$D$2</f>
        <v>8.230907610825804E-3</v>
      </c>
      <c r="E3" s="43">
        <f>E2/'STATE TOTALS'!$E$2</f>
        <v>2.0411581951167254E-2</v>
      </c>
      <c r="F3" s="43">
        <f>F2/'STATE TOTALS'!$F$2</f>
        <v>8.6357714498418017E-2</v>
      </c>
      <c r="G3" s="37" t="s">
        <v>40</v>
      </c>
      <c r="H3" s="37"/>
      <c r="I3" s="251"/>
    </row>
    <row r="4" spans="1:9" x14ac:dyDescent="0.2">
      <c r="A4" s="37" t="s">
        <v>29</v>
      </c>
      <c r="B4" s="139">
        <v>2591</v>
      </c>
      <c r="C4" s="40">
        <v>2516</v>
      </c>
      <c r="D4" s="40">
        <f>C4-B4</f>
        <v>-75</v>
      </c>
      <c r="E4" s="40">
        <f>E5-E2</f>
        <v>2597</v>
      </c>
      <c r="F4" s="40">
        <f>E4-C4</f>
        <v>81</v>
      </c>
      <c r="G4" s="166" t="s">
        <v>188</v>
      </c>
      <c r="H4" s="166" t="s">
        <v>34</v>
      </c>
      <c r="I4" s="251"/>
    </row>
    <row r="5" spans="1:9" x14ac:dyDescent="0.2">
      <c r="A5" s="37" t="s">
        <v>30</v>
      </c>
      <c r="B5" s="139">
        <v>13643</v>
      </c>
      <c r="C5" s="40">
        <v>14387</v>
      </c>
      <c r="D5" s="40">
        <f>C5-B5</f>
        <v>744</v>
      </c>
      <c r="E5" s="217">
        <v>13076</v>
      </c>
      <c r="F5" s="70">
        <f>E5-C5</f>
        <v>-1311</v>
      </c>
      <c r="G5" s="217">
        <v>14198</v>
      </c>
      <c r="H5" s="194">
        <f>(E5-B5)/('STATE TOTALS'!E5-'STATE TOTALS'!B5)*('STATE TOTALS'!G5-'STATE TOTALS'!E5)+E5</f>
        <v>12751.036687551179</v>
      </c>
      <c r="I5" s="251"/>
    </row>
    <row r="6" spans="1:9" x14ac:dyDescent="0.2">
      <c r="A6" s="37" t="s">
        <v>33</v>
      </c>
      <c r="B6" s="43">
        <f>B5/'STATE TOTALS'!$B$5</f>
        <v>2.7537583361591501E-2</v>
      </c>
      <c r="C6" s="43">
        <f>C5/'STATE TOTALS'!$C$5</f>
        <v>2.3745587004708846E-2</v>
      </c>
      <c r="D6" s="43">
        <f>D5/'STATE TOTALS'!$D$5</f>
        <v>6.7361406622060858E-3</v>
      </c>
      <c r="E6" s="43">
        <f>E5/'STATE TOTALS'!$E$5</f>
        <v>2.1776855512662084E-2</v>
      </c>
      <c r="F6" s="43">
        <f>F5/'STATE TOTALS'!$F$5</f>
        <v>0.24156992813709233</v>
      </c>
      <c r="G6" s="37"/>
      <c r="H6" s="37"/>
      <c r="I6" s="251"/>
    </row>
    <row r="7" spans="1:9" x14ac:dyDescent="0.2">
      <c r="A7" s="37"/>
      <c r="B7" s="41"/>
      <c r="C7" s="41"/>
      <c r="D7" s="41"/>
      <c r="E7" s="141"/>
      <c r="F7" s="37"/>
      <c r="G7" s="37"/>
      <c r="H7" s="37"/>
      <c r="I7" s="251"/>
    </row>
    <row r="8" spans="1:9" x14ac:dyDescent="0.2">
      <c r="A8" s="37" t="s">
        <v>92</v>
      </c>
      <c r="B8" s="139">
        <v>20576</v>
      </c>
      <c r="C8" s="40">
        <v>21892</v>
      </c>
      <c r="D8" s="40">
        <f>C8-B8</f>
        <v>1316</v>
      </c>
      <c r="E8" s="217">
        <v>22670</v>
      </c>
      <c r="F8" s="70">
        <f>E8-C8</f>
        <v>778</v>
      </c>
      <c r="G8" s="40">
        <f>G5*G9</f>
        <v>21604.407868214363</v>
      </c>
      <c r="H8" s="40">
        <f>H5*H9</f>
        <v>19402.6339865066</v>
      </c>
      <c r="I8" s="251"/>
    </row>
    <row r="9" spans="1:9" x14ac:dyDescent="0.2">
      <c r="A9" s="37" t="s">
        <v>173</v>
      </c>
      <c r="B9" s="191">
        <f>B8/B5</f>
        <v>1.5081726892912115</v>
      </c>
      <c r="C9" s="191">
        <f>C8/C5</f>
        <v>1.5216514909293113</v>
      </c>
      <c r="D9" s="191"/>
      <c r="E9" s="198">
        <f>E8/E5</f>
        <v>1.7337106148669317</v>
      </c>
      <c r="F9" s="199" t="s">
        <v>45</v>
      </c>
      <c r="G9" s="200">
        <f>+C9</f>
        <v>1.5216514909293113</v>
      </c>
      <c r="H9" s="201">
        <f>G9</f>
        <v>1.5216514909293113</v>
      </c>
      <c r="I9" s="251"/>
    </row>
    <row r="10" spans="1:9" x14ac:dyDescent="0.2">
      <c r="A10" s="37"/>
      <c r="B10" s="41"/>
      <c r="C10" s="41"/>
      <c r="D10" s="41"/>
      <c r="E10" s="141"/>
      <c r="F10" s="37"/>
      <c r="G10" s="37" t="s">
        <v>226</v>
      </c>
      <c r="H10" s="37"/>
      <c r="I10" s="251"/>
    </row>
    <row r="11" spans="1:9" x14ac:dyDescent="0.2">
      <c r="A11" s="37" t="s">
        <v>123</v>
      </c>
      <c r="B11" s="149">
        <f>B13/B8</f>
        <v>0.88301905132192848</v>
      </c>
      <c r="C11" s="149">
        <f>C13/C8</f>
        <v>0.91718435958340949</v>
      </c>
      <c r="D11" s="41"/>
      <c r="E11" s="200">
        <f>E13/E8</f>
        <v>0.98442876047640049</v>
      </c>
      <c r="F11" s="202" t="s">
        <v>45</v>
      </c>
      <c r="G11" s="200">
        <f>E11</f>
        <v>0.98442876047640049</v>
      </c>
      <c r="H11" s="201">
        <f>G11</f>
        <v>0.98442876047640049</v>
      </c>
      <c r="I11" s="251"/>
    </row>
    <row r="12" spans="1:9" x14ac:dyDescent="0.2">
      <c r="A12" s="37"/>
      <c r="B12" s="41"/>
      <c r="C12" s="41"/>
      <c r="D12" s="41"/>
      <c r="E12" s="141"/>
      <c r="F12" s="37"/>
      <c r="G12" s="37"/>
      <c r="H12" s="37"/>
      <c r="I12" s="251"/>
    </row>
    <row r="13" spans="1:9" x14ac:dyDescent="0.2">
      <c r="A13" s="37" t="s">
        <v>124</v>
      </c>
      <c r="B13" s="139">
        <v>18169</v>
      </c>
      <c r="C13" s="139">
        <v>20079</v>
      </c>
      <c r="D13" s="40">
        <f>C13-B13</f>
        <v>1910</v>
      </c>
      <c r="E13" s="217">
        <v>22317</v>
      </c>
      <c r="F13" s="70">
        <f>E13-C13</f>
        <v>2238</v>
      </c>
      <c r="G13" s="40">
        <f>G11*G8</f>
        <v>21268.000458532861</v>
      </c>
      <c r="H13" s="40">
        <f>H11*H8</f>
        <v>19100.510925313974</v>
      </c>
      <c r="I13" s="251"/>
    </row>
    <row r="14" spans="1:9" x14ac:dyDescent="0.2">
      <c r="A14" s="37" t="s">
        <v>25</v>
      </c>
      <c r="B14" s="139">
        <v>12273</v>
      </c>
      <c r="C14" s="139">
        <v>12578</v>
      </c>
      <c r="D14" s="40">
        <f>C14-B14</f>
        <v>305</v>
      </c>
      <c r="E14" s="40">
        <v>13210</v>
      </c>
      <c r="F14" s="70">
        <f>E14-C14</f>
        <v>632</v>
      </c>
      <c r="G14" s="40">
        <f>G13-G15</f>
        <v>12589.070486948025</v>
      </c>
      <c r="H14" s="40">
        <f>H13-H15</f>
        <v>11306.078295622065</v>
      </c>
      <c r="I14" s="251"/>
    </row>
    <row r="15" spans="1:9" x14ac:dyDescent="0.2">
      <c r="A15" s="37" t="s">
        <v>26</v>
      </c>
      <c r="B15" s="139">
        <f>B13-B14</f>
        <v>5896</v>
      </c>
      <c r="C15" s="139">
        <f>C13-C14</f>
        <v>7501</v>
      </c>
      <c r="D15" s="40">
        <f>C15-B15</f>
        <v>1605</v>
      </c>
      <c r="E15" s="139">
        <f>E13-E14</f>
        <v>9107</v>
      </c>
      <c r="F15" s="70">
        <f>E15-C15</f>
        <v>1606</v>
      </c>
      <c r="G15" s="40">
        <f>G16*G13</f>
        <v>8678.9299715848356</v>
      </c>
      <c r="H15" s="40">
        <f>H16*H13</f>
        <v>7794.4326296919107</v>
      </c>
      <c r="I15" s="251"/>
    </row>
    <row r="16" spans="1:9" x14ac:dyDescent="0.2">
      <c r="A16" s="37" t="s">
        <v>27</v>
      </c>
      <c r="B16" s="43">
        <f>B15/B13</f>
        <v>0.32450877868897571</v>
      </c>
      <c r="C16" s="43">
        <f>C15/C13</f>
        <v>0.3735743811942826</v>
      </c>
      <c r="D16" s="37"/>
      <c r="E16" s="204">
        <f>E15/E13</f>
        <v>0.40807456199309944</v>
      </c>
      <c r="F16" s="202" t="s">
        <v>45</v>
      </c>
      <c r="G16" s="203">
        <f>E16</f>
        <v>0.40807456199309944</v>
      </c>
      <c r="H16" s="204">
        <f>G16</f>
        <v>0.40807456199309944</v>
      </c>
      <c r="I16" s="251"/>
    </row>
    <row r="17" spans="1:9" x14ac:dyDescent="0.2">
      <c r="A17" s="37"/>
      <c r="B17" s="41"/>
      <c r="C17" s="41"/>
      <c r="D17" s="41"/>
      <c r="E17" s="141"/>
      <c r="F17" s="37"/>
      <c r="G17" s="37"/>
      <c r="H17" s="37"/>
      <c r="I17" s="251"/>
    </row>
    <row r="18" spans="1:9" x14ac:dyDescent="0.2">
      <c r="A18" s="37" t="s">
        <v>31</v>
      </c>
      <c r="B18" s="41">
        <f>B2/B55</f>
        <v>0.7430915081019297</v>
      </c>
      <c r="C18" s="41">
        <f>C2/C55</f>
        <v>0.71814882032667882</v>
      </c>
      <c r="D18" s="41"/>
      <c r="E18" s="41"/>
      <c r="F18" s="37"/>
      <c r="G18" s="41"/>
      <c r="H18" s="41"/>
      <c r="I18" s="251"/>
    </row>
    <row r="19" spans="1:9" x14ac:dyDescent="0.2">
      <c r="A19" s="37"/>
      <c r="B19" s="40"/>
      <c r="C19" s="40"/>
      <c r="D19" s="37"/>
      <c r="E19" s="37"/>
      <c r="F19" s="37"/>
      <c r="G19" s="37"/>
      <c r="H19" s="37"/>
      <c r="I19" s="251"/>
    </row>
    <row r="20" spans="1:9" x14ac:dyDescent="0.2">
      <c r="A20" s="37" t="s">
        <v>128</v>
      </c>
      <c r="B20" s="41">
        <f>B24/B8</f>
        <v>1.5997278382581648</v>
      </c>
      <c r="C20" s="41">
        <f>C24/C8</f>
        <v>1.5564589804494793</v>
      </c>
      <c r="D20" s="37"/>
      <c r="E20" s="41">
        <f>E24/E8</f>
        <v>1.6111601235112483</v>
      </c>
      <c r="F20" s="140" t="s">
        <v>46</v>
      </c>
      <c r="G20" s="205">
        <f>+E20</f>
        <v>1.6111601235112483</v>
      </c>
      <c r="H20" s="41">
        <f>H24/H8</f>
        <v>1.7379455292129353</v>
      </c>
      <c r="I20" s="251"/>
    </row>
    <row r="21" spans="1:9" x14ac:dyDescent="0.2">
      <c r="A21" s="37" t="s">
        <v>94</v>
      </c>
      <c r="B21" s="41">
        <f>B29/B8</f>
        <v>0.5486003110419907</v>
      </c>
      <c r="C21" s="41">
        <f>C29/C8</f>
        <v>0.56938607710579203</v>
      </c>
      <c r="D21" s="37"/>
      <c r="E21" s="205">
        <f>E29/E8</f>
        <v>0.60119100132333481</v>
      </c>
      <c r="F21" s="202" t="s">
        <v>45</v>
      </c>
      <c r="G21" s="205">
        <f>AVERAGE(B21:E21)</f>
        <v>0.57305912982370588</v>
      </c>
      <c r="H21" s="206">
        <f>G21</f>
        <v>0.57305912982370588</v>
      </c>
      <c r="I21" s="252"/>
    </row>
    <row r="22" spans="1:9" x14ac:dyDescent="0.2">
      <c r="A22" s="37"/>
      <c r="B22" s="37"/>
      <c r="C22" s="37"/>
      <c r="D22" s="37"/>
      <c r="E22" s="37"/>
      <c r="F22" s="37"/>
      <c r="G22" s="37"/>
      <c r="H22" s="37"/>
      <c r="I22" s="161"/>
    </row>
    <row r="23" spans="1:9" x14ac:dyDescent="0.2">
      <c r="A23" s="64" t="s">
        <v>98</v>
      </c>
      <c r="B23" s="41"/>
      <c r="C23" s="41"/>
      <c r="D23" s="37"/>
      <c r="E23" s="37"/>
      <c r="F23" s="37"/>
      <c r="G23" s="37"/>
      <c r="H23" s="37"/>
      <c r="I23" s="159"/>
    </row>
    <row r="24" spans="1:9" x14ac:dyDescent="0.2">
      <c r="A24" s="37" t="s">
        <v>99</v>
      </c>
      <c r="B24" s="40">
        <v>32916</v>
      </c>
      <c r="C24" s="40">
        <v>34074</v>
      </c>
      <c r="D24" s="40">
        <f>C24-B24</f>
        <v>1158</v>
      </c>
      <c r="E24" s="217">
        <f>36211+314</f>
        <v>36525</v>
      </c>
      <c r="F24" s="70">
        <f>E24-C24</f>
        <v>2451</v>
      </c>
      <c r="G24" s="40">
        <f>+G20*G8</f>
        <v>34808.160449339637</v>
      </c>
      <c r="H24" s="40">
        <f>H25+H26</f>
        <v>33720.720991804097</v>
      </c>
      <c r="I24" s="217">
        <f>34731+306</f>
        <v>35037</v>
      </c>
    </row>
    <row r="25" spans="1:9" x14ac:dyDescent="0.2">
      <c r="A25" s="37" t="s">
        <v>97</v>
      </c>
      <c r="B25" s="40">
        <v>99</v>
      </c>
      <c r="C25" s="40">
        <v>204</v>
      </c>
      <c r="D25" s="40">
        <f>C25-B25</f>
        <v>105</v>
      </c>
      <c r="E25" s="217">
        <v>314</v>
      </c>
      <c r="F25" s="70">
        <f>E25-C25</f>
        <v>110</v>
      </c>
      <c r="G25" s="207">
        <f>I25</f>
        <v>306</v>
      </c>
      <c r="H25" s="207">
        <f>I25</f>
        <v>306</v>
      </c>
      <c r="I25" s="217">
        <v>306</v>
      </c>
    </row>
    <row r="26" spans="1:9" x14ac:dyDescent="0.2">
      <c r="A26" s="37" t="s">
        <v>95</v>
      </c>
      <c r="B26" s="40">
        <f>B24-B25</f>
        <v>32817</v>
      </c>
      <c r="C26" s="40">
        <f>C24-C25</f>
        <v>33870</v>
      </c>
      <c r="D26" s="40">
        <f>C26-B26</f>
        <v>1053</v>
      </c>
      <c r="E26" s="40">
        <f>E24-E25</f>
        <v>36211</v>
      </c>
      <c r="F26" s="70">
        <f>E26-C26</f>
        <v>2341</v>
      </c>
      <c r="G26" s="40">
        <f>G24-G25</f>
        <v>34502.160449339637</v>
      </c>
      <c r="H26" s="154">
        <f>H29*H27</f>
        <v>33414.720991804097</v>
      </c>
      <c r="I26" s="154">
        <f>I24-I25</f>
        <v>34731</v>
      </c>
    </row>
    <row r="27" spans="1:9" x14ac:dyDescent="0.2">
      <c r="A27" s="37" t="s">
        <v>111</v>
      </c>
      <c r="B27" s="142">
        <f>B26/B29</f>
        <v>2.9072466335931963</v>
      </c>
      <c r="C27" s="142">
        <f>C26/C29</f>
        <v>2.7172081829121542</v>
      </c>
      <c r="D27" s="41"/>
      <c r="E27" s="142">
        <f>E26/E29</f>
        <v>2.6569080636877249</v>
      </c>
      <c r="F27" s="37"/>
      <c r="G27" s="142">
        <f>G26/G29</f>
        <v>2.7867915614728855</v>
      </c>
      <c r="H27" s="208">
        <f>I27</f>
        <v>2.5926395939086295</v>
      </c>
      <c r="I27" s="208">
        <f>I26/I29</f>
        <v>2.5926395939086295</v>
      </c>
    </row>
    <row r="28" spans="1:9" x14ac:dyDescent="0.2">
      <c r="A28" s="37"/>
      <c r="B28" s="40"/>
      <c r="C28" s="40"/>
      <c r="D28" s="37"/>
      <c r="E28" s="37"/>
      <c r="F28" s="37"/>
      <c r="G28" s="159"/>
      <c r="H28" s="159"/>
      <c r="I28" s="159"/>
    </row>
    <row r="29" spans="1:9" x14ac:dyDescent="0.2">
      <c r="A29" s="37" t="s">
        <v>100</v>
      </c>
      <c r="B29" s="40">
        <v>11288</v>
      </c>
      <c r="C29" s="40">
        <v>12465</v>
      </c>
      <c r="D29" s="40">
        <f>C29-B29</f>
        <v>1177</v>
      </c>
      <c r="E29" s="217">
        <v>13629</v>
      </c>
      <c r="F29" s="70">
        <f>E29-C29</f>
        <v>1164</v>
      </c>
      <c r="G29" s="154">
        <f>G8*G21</f>
        <v>12380.603173315347</v>
      </c>
      <c r="H29" s="223">
        <f>+AVERAGE(G29,I29)</f>
        <v>12888.301586657673</v>
      </c>
      <c r="I29" s="217">
        <v>13396</v>
      </c>
    </row>
    <row r="30" spans="1:9" x14ac:dyDescent="0.2">
      <c r="A30" s="37" t="s">
        <v>101</v>
      </c>
      <c r="B30" s="40">
        <v>7863</v>
      </c>
      <c r="C30" s="40">
        <v>8720</v>
      </c>
      <c r="D30" s="40">
        <f>C30-B30</f>
        <v>857</v>
      </c>
      <c r="E30" s="217">
        <v>9559</v>
      </c>
      <c r="F30" s="70">
        <f>E30-C30</f>
        <v>839</v>
      </c>
      <c r="G30" s="154">
        <f>G29*G32</f>
        <v>8709.9022038987132</v>
      </c>
      <c r="H30" s="154">
        <f>H29*H32</f>
        <v>9067.074101534301</v>
      </c>
      <c r="I30" s="217">
        <v>9424.245999169887</v>
      </c>
    </row>
    <row r="31" spans="1:9" x14ac:dyDescent="0.2">
      <c r="A31" s="37" t="s">
        <v>102</v>
      </c>
      <c r="B31" s="40">
        <v>3425</v>
      </c>
      <c r="C31" s="40">
        <v>3745</v>
      </c>
      <c r="D31" s="40">
        <f>C31-B31</f>
        <v>320</v>
      </c>
      <c r="E31" s="217">
        <v>4070</v>
      </c>
      <c r="F31" s="70">
        <f>E31-C31</f>
        <v>325</v>
      </c>
      <c r="G31" s="154">
        <f>G29-G30</f>
        <v>3670.7009694166336</v>
      </c>
      <c r="H31" s="154">
        <f>H29-H30</f>
        <v>3821.2274851233724</v>
      </c>
      <c r="I31" s="217">
        <v>3971.8645497448028</v>
      </c>
    </row>
    <row r="32" spans="1:9" x14ac:dyDescent="0.2">
      <c r="A32" s="37" t="s">
        <v>103</v>
      </c>
      <c r="B32" s="43">
        <f>B30/B29</f>
        <v>0.69658043940467751</v>
      </c>
      <c r="C32" s="43">
        <f>C30/C29</f>
        <v>0.69955876454071397</v>
      </c>
      <c r="D32" s="42"/>
      <c r="E32" s="43">
        <f>E30/E29</f>
        <v>0.70137207425343018</v>
      </c>
      <c r="F32" s="37"/>
      <c r="G32" s="203">
        <f>H32</f>
        <v>0.70351194380187276</v>
      </c>
      <c r="H32" s="203">
        <f>I32</f>
        <v>0.70351194380187276</v>
      </c>
      <c r="I32" s="203">
        <f>I30/I29</f>
        <v>0.70351194380187276</v>
      </c>
    </row>
    <row r="33" spans="1:9" x14ac:dyDescent="0.2">
      <c r="A33" s="37" t="s">
        <v>104</v>
      </c>
      <c r="B33" s="43">
        <f>B31/B29</f>
        <v>0.30341956059532249</v>
      </c>
      <c r="C33" s="43">
        <f>C31/C29</f>
        <v>0.30044123545928603</v>
      </c>
      <c r="D33" s="42"/>
      <c r="E33" s="43">
        <f>E31/E29</f>
        <v>0.29862792574656982</v>
      </c>
      <c r="F33" s="37"/>
      <c r="G33" s="203">
        <f>1-G32</f>
        <v>0.29648805619812724</v>
      </c>
      <c r="H33" s="203">
        <f>1-H32</f>
        <v>0.29648805619812724</v>
      </c>
      <c r="I33" s="203">
        <f>I31/I29</f>
        <v>0.29649630858053172</v>
      </c>
    </row>
    <row r="34" spans="1:9" x14ac:dyDescent="0.2">
      <c r="A34" s="37"/>
      <c r="B34" s="40"/>
      <c r="C34" s="40"/>
      <c r="D34" s="37"/>
      <c r="E34" s="37"/>
      <c r="F34" s="37"/>
      <c r="G34" s="159"/>
      <c r="H34" s="159"/>
      <c r="I34" s="159"/>
    </row>
    <row r="35" spans="1:9" x14ac:dyDescent="0.2">
      <c r="A35" s="64" t="s">
        <v>171</v>
      </c>
      <c r="B35" s="43"/>
      <c r="C35" s="43"/>
      <c r="D35" s="37"/>
      <c r="E35" s="37"/>
      <c r="F35" s="37"/>
      <c r="G35" s="154"/>
      <c r="H35" s="154"/>
      <c r="I35" s="154"/>
    </row>
    <row r="36" spans="1:9" x14ac:dyDescent="0.2">
      <c r="A36" s="37" t="s">
        <v>105</v>
      </c>
      <c r="B36" s="40">
        <v>5676</v>
      </c>
      <c r="C36" s="40">
        <v>6384</v>
      </c>
      <c r="D36" s="40">
        <f>C36-B36</f>
        <v>708</v>
      </c>
      <c r="E36" s="217">
        <f>6830+387</f>
        <v>7217</v>
      </c>
      <c r="F36" s="70">
        <f>E36-C36</f>
        <v>833</v>
      </c>
      <c r="G36" s="210">
        <f>I36</f>
        <v>10456</v>
      </c>
      <c r="H36" s="210">
        <f>I36</f>
        <v>10456</v>
      </c>
      <c r="I36" s="217">
        <f>9963+493</f>
        <v>10456</v>
      </c>
    </row>
    <row r="37" spans="1:9" x14ac:dyDescent="0.2">
      <c r="A37" s="37" t="s">
        <v>106</v>
      </c>
      <c r="B37" s="43">
        <f>B36/B50</f>
        <v>0.1470771144278607</v>
      </c>
      <c r="C37" s="43">
        <f>C36/C50</f>
        <v>0.15779326709179889</v>
      </c>
      <c r="D37" s="43"/>
      <c r="E37" s="43">
        <f>E36/E50</f>
        <v>0.16499016963101823</v>
      </c>
      <c r="F37" s="43"/>
      <c r="G37" s="195">
        <f>G36/G50</f>
        <v>0.23099953464734024</v>
      </c>
      <c r="H37" s="195">
        <f>H36/H50</f>
        <v>0.23668574229263992</v>
      </c>
      <c r="I37" s="195">
        <f>I36/I50</f>
        <v>0.22983755742641726</v>
      </c>
    </row>
    <row r="38" spans="1:9" x14ac:dyDescent="0.2">
      <c r="A38" s="37" t="s">
        <v>107</v>
      </c>
      <c r="B38" s="70">
        <v>332</v>
      </c>
      <c r="C38" s="70">
        <v>353</v>
      </c>
      <c r="D38" s="40">
        <f>C38-B38</f>
        <v>21</v>
      </c>
      <c r="E38" s="217">
        <v>387</v>
      </c>
      <c r="F38" s="70">
        <f>E38-C38</f>
        <v>34</v>
      </c>
      <c r="G38" s="154">
        <f>I38</f>
        <v>493</v>
      </c>
      <c r="H38" s="154">
        <f>I38</f>
        <v>493</v>
      </c>
      <c r="I38" s="217">
        <v>493</v>
      </c>
    </row>
    <row r="39" spans="1:9" x14ac:dyDescent="0.2">
      <c r="A39" s="37" t="s">
        <v>108</v>
      </c>
      <c r="B39" s="40">
        <f>B36-B38</f>
        <v>5344</v>
      </c>
      <c r="C39" s="40">
        <f>C36-C38</f>
        <v>6031</v>
      </c>
      <c r="D39" s="40">
        <f>C39-B39</f>
        <v>687</v>
      </c>
      <c r="E39" s="40">
        <f>E36-E38</f>
        <v>6830</v>
      </c>
      <c r="F39" s="70">
        <f>E39-C39</f>
        <v>799</v>
      </c>
      <c r="G39" s="154">
        <f>G36-G38</f>
        <v>9963</v>
      </c>
      <c r="H39" s="154">
        <f>H36-H38</f>
        <v>9963</v>
      </c>
      <c r="I39" s="154">
        <f>I36-I38</f>
        <v>9963</v>
      </c>
    </row>
    <row r="40" spans="1:9" x14ac:dyDescent="0.2">
      <c r="A40" s="37"/>
      <c r="B40" s="40"/>
      <c r="C40" s="40"/>
      <c r="D40" s="40"/>
      <c r="E40" s="40"/>
      <c r="F40" s="70"/>
      <c r="G40" s="154"/>
      <c r="H40" s="154"/>
      <c r="I40" s="154"/>
    </row>
    <row r="41" spans="1:9" x14ac:dyDescent="0.2">
      <c r="A41" s="37" t="s">
        <v>109</v>
      </c>
      <c r="B41" s="40">
        <v>3585</v>
      </c>
      <c r="C41" s="40">
        <v>4065</v>
      </c>
      <c r="D41" s="40">
        <f>C41-B41</f>
        <v>480</v>
      </c>
      <c r="E41" s="217">
        <v>4497</v>
      </c>
      <c r="F41" s="70">
        <f>E41-C41</f>
        <v>432</v>
      </c>
      <c r="G41" s="207">
        <f>G39/G43</f>
        <v>6511</v>
      </c>
      <c r="H41" s="207">
        <f>H39/H43</f>
        <v>6511</v>
      </c>
      <c r="I41" s="217">
        <v>6511</v>
      </c>
    </row>
    <row r="42" spans="1:9" x14ac:dyDescent="0.2">
      <c r="A42" s="37" t="s">
        <v>110</v>
      </c>
      <c r="B42" s="43">
        <f>B41/B55</f>
        <v>0.24104081221004506</v>
      </c>
      <c r="C42" s="43">
        <f>C41/C55</f>
        <v>0.24591651542649728</v>
      </c>
      <c r="D42" s="42"/>
      <c r="E42" s="43">
        <f>E41/E55</f>
        <v>0.24809665673618006</v>
      </c>
      <c r="F42" s="37"/>
      <c r="G42" s="43">
        <f>G41/G55</f>
        <v>0.34465047461916193</v>
      </c>
      <c r="H42" s="43">
        <f>H41/H55</f>
        <v>0.33563063963488732</v>
      </c>
      <c r="I42" s="195">
        <f>I41/I55</f>
        <v>0.32707087959009395</v>
      </c>
    </row>
    <row r="43" spans="1:9" x14ac:dyDescent="0.2">
      <c r="A43" s="37" t="s">
        <v>112</v>
      </c>
      <c r="B43" s="142">
        <f>B39/B41</f>
        <v>1.4906555090655509</v>
      </c>
      <c r="C43" s="142">
        <f>C39/C41</f>
        <v>1.4836408364083642</v>
      </c>
      <c r="D43" s="37"/>
      <c r="E43" s="142">
        <f>E39/E41</f>
        <v>1.5187903046475428</v>
      </c>
      <c r="F43" s="37"/>
      <c r="G43" s="209">
        <f>H43</f>
        <v>1.5301796958992475</v>
      </c>
      <c r="H43" s="209">
        <f>I43</f>
        <v>1.5301796958992475</v>
      </c>
      <c r="I43" s="209">
        <f>I39/I41</f>
        <v>1.5301796958992475</v>
      </c>
    </row>
    <row r="44" spans="1:9" x14ac:dyDescent="0.2">
      <c r="A44" s="37"/>
      <c r="B44" s="142"/>
      <c r="C44" s="142"/>
      <c r="D44" s="42"/>
      <c r="E44" s="42"/>
      <c r="F44" s="37"/>
      <c r="G44" s="37"/>
      <c r="H44" s="37"/>
      <c r="I44" s="37"/>
    </row>
    <row r="45" spans="1:9" x14ac:dyDescent="0.2">
      <c r="A45" s="37" t="s">
        <v>113</v>
      </c>
      <c r="B45" s="40">
        <v>2654</v>
      </c>
      <c r="C45" s="40">
        <v>3183</v>
      </c>
      <c r="D45" s="40">
        <f>C45-B45</f>
        <v>529</v>
      </c>
      <c r="E45" s="217">
        <v>3562</v>
      </c>
      <c r="F45" s="70">
        <f>E45-C45</f>
        <v>379</v>
      </c>
      <c r="G45" s="207">
        <f>G47*G41</f>
        <v>5187.8317793624501</v>
      </c>
      <c r="H45" s="207">
        <f>H47*H41</f>
        <v>5187.8317793624501</v>
      </c>
      <c r="I45" s="217">
        <v>5187.8317793624501</v>
      </c>
    </row>
    <row r="46" spans="1:9" x14ac:dyDescent="0.2">
      <c r="A46" s="37" t="s">
        <v>114</v>
      </c>
      <c r="B46" s="40">
        <v>931</v>
      </c>
      <c r="C46" s="40">
        <v>882</v>
      </c>
      <c r="D46" s="40">
        <f>C46-B46</f>
        <v>-49</v>
      </c>
      <c r="E46" s="217">
        <v>935</v>
      </c>
      <c r="F46" s="70">
        <f>E46-C46</f>
        <v>53</v>
      </c>
      <c r="G46" s="40">
        <f>G41-G45</f>
        <v>1323.1682206375499</v>
      </c>
      <c r="H46" s="40">
        <f>H41-H45</f>
        <v>1323.1682206375499</v>
      </c>
      <c r="I46" s="217">
        <v>1323.0915936546303</v>
      </c>
    </row>
    <row r="47" spans="1:9" x14ac:dyDescent="0.2">
      <c r="A47" s="37" t="s">
        <v>115</v>
      </c>
      <c r="B47" s="43">
        <f>B45/B41</f>
        <v>0.74030683403068342</v>
      </c>
      <c r="C47" s="43">
        <f>C45/C41</f>
        <v>0.78302583025830264</v>
      </c>
      <c r="D47" s="37"/>
      <c r="E47" s="43">
        <f>E45/E41</f>
        <v>0.7920836112964198</v>
      </c>
      <c r="F47" s="37"/>
      <c r="G47" s="211">
        <f>H47</f>
        <v>0.79677956986061282</v>
      </c>
      <c r="H47" s="211">
        <f>I47</f>
        <v>0.79677956986061282</v>
      </c>
      <c r="I47" s="211">
        <f>I45/I41</f>
        <v>0.79677956986061282</v>
      </c>
    </row>
    <row r="48" spans="1:9" x14ac:dyDescent="0.2">
      <c r="A48" s="37" t="s">
        <v>116</v>
      </c>
      <c r="B48" s="43">
        <f>1-B47</f>
        <v>0.25969316596931658</v>
      </c>
      <c r="C48" s="43">
        <f>1-C47</f>
        <v>0.21697416974169736</v>
      </c>
      <c r="D48" s="37"/>
      <c r="E48" s="43">
        <f>1-E47</f>
        <v>0.2079163887035802</v>
      </c>
      <c r="F48" s="37"/>
      <c r="G48" s="211">
        <f>1-G47</f>
        <v>0.20322043013938718</v>
      </c>
      <c r="H48" s="211">
        <f>1-H47</f>
        <v>0.20322043013938718</v>
      </c>
      <c r="I48" s="211">
        <f>1-I47</f>
        <v>0.20322043013938718</v>
      </c>
    </row>
    <row r="49" spans="1:9" x14ac:dyDescent="0.2">
      <c r="A49" s="37"/>
      <c r="B49" s="43"/>
      <c r="C49" s="43"/>
      <c r="D49" s="37"/>
      <c r="E49" s="37"/>
      <c r="F49" s="37"/>
      <c r="G49" s="37"/>
      <c r="H49" s="37"/>
      <c r="I49" s="37"/>
    </row>
    <row r="50" spans="1:9" x14ac:dyDescent="0.2">
      <c r="A50" s="64" t="s">
        <v>129</v>
      </c>
      <c r="B50" s="40">
        <f>B24+B36</f>
        <v>38592</v>
      </c>
      <c r="C50" s="40">
        <f>C24+C36</f>
        <v>40458</v>
      </c>
      <c r="D50" s="40">
        <f>C50-B50</f>
        <v>1866</v>
      </c>
      <c r="E50" s="40">
        <f>E24+E36</f>
        <v>43742</v>
      </c>
      <c r="F50" s="70">
        <f>E50-C50</f>
        <v>3284</v>
      </c>
      <c r="G50" s="40">
        <f>G24+I36</f>
        <v>45264.160449339637</v>
      </c>
      <c r="H50" s="40">
        <f>H24+I36</f>
        <v>44176.720991804097</v>
      </c>
      <c r="I50" s="40">
        <f>I24+I36</f>
        <v>45493</v>
      </c>
    </row>
    <row r="51" spans="1:9" x14ac:dyDescent="0.2">
      <c r="A51" s="37" t="s">
        <v>96</v>
      </c>
      <c r="B51" s="40">
        <f>B25+B38</f>
        <v>431</v>
      </c>
      <c r="C51" s="40">
        <f>C25+C38</f>
        <v>557</v>
      </c>
      <c r="D51" s="40">
        <f>C51-B51</f>
        <v>126</v>
      </c>
      <c r="E51" s="40">
        <f>E25+E38</f>
        <v>701</v>
      </c>
      <c r="F51" s="70">
        <f>E51-C51</f>
        <v>144</v>
      </c>
      <c r="G51" s="212">
        <f>G25+G38</f>
        <v>799</v>
      </c>
      <c r="H51" s="212">
        <f>H25+H38</f>
        <v>799</v>
      </c>
      <c r="I51" s="212">
        <f>I25+I38</f>
        <v>799</v>
      </c>
    </row>
    <row r="52" spans="1:9" x14ac:dyDescent="0.2">
      <c r="A52" s="37" t="s">
        <v>95</v>
      </c>
      <c r="B52" s="40">
        <f>B50-B51</f>
        <v>38161</v>
      </c>
      <c r="C52" s="40">
        <f>C50-C51</f>
        <v>39901</v>
      </c>
      <c r="D52" s="40">
        <f>C52-B52</f>
        <v>1740</v>
      </c>
      <c r="E52" s="40">
        <f>E50-E51</f>
        <v>43041</v>
      </c>
      <c r="F52" s="70">
        <f>E52-C52</f>
        <v>3140</v>
      </c>
      <c r="G52" s="40">
        <f>G50-G51</f>
        <v>44465.160449339637</v>
      </c>
      <c r="H52" s="40">
        <f>H50-H51</f>
        <v>43377.720991804097</v>
      </c>
      <c r="I52" s="40">
        <f>I50-I51</f>
        <v>44694</v>
      </c>
    </row>
    <row r="53" spans="1:9" x14ac:dyDescent="0.2">
      <c r="A53" s="37" t="s">
        <v>126</v>
      </c>
      <c r="B53" s="142">
        <f>B52/B55</f>
        <v>2.5657903583675115</v>
      </c>
      <c r="C53" s="142">
        <f>C52/C55</f>
        <v>2.4138535995160315</v>
      </c>
      <c r="D53" s="37"/>
      <c r="E53" s="142">
        <f>E52/E55</f>
        <v>2.3745448526977824</v>
      </c>
      <c r="F53" s="37"/>
      <c r="G53" s="142">
        <f>G52/G55</f>
        <v>2.3536996855908607</v>
      </c>
      <c r="H53" s="142">
        <f>H52/H55</f>
        <v>2.2360454987533234</v>
      </c>
      <c r="I53" s="142">
        <f>I52/I55</f>
        <v>2.2451399005374992</v>
      </c>
    </row>
    <row r="54" spans="1:9" x14ac:dyDescent="0.2">
      <c r="A54" s="37"/>
      <c r="B54" s="43"/>
      <c r="C54" s="43"/>
      <c r="D54" s="37"/>
      <c r="E54" s="37"/>
      <c r="F54" s="37"/>
      <c r="G54" s="37"/>
      <c r="H54" s="37"/>
      <c r="I54" s="37"/>
    </row>
    <row r="55" spans="1:9" x14ac:dyDescent="0.2">
      <c r="A55" s="64" t="s">
        <v>58</v>
      </c>
      <c r="B55" s="40">
        <v>14873</v>
      </c>
      <c r="C55" s="40">
        <v>16530</v>
      </c>
      <c r="D55" s="40">
        <f>C55-B55</f>
        <v>1657</v>
      </c>
      <c r="E55" s="40">
        <f>E29+E41</f>
        <v>18126</v>
      </c>
      <c r="F55" s="70">
        <f>E55-C55</f>
        <v>1596</v>
      </c>
      <c r="G55" s="40">
        <f>G29+G41</f>
        <v>18891.603173315347</v>
      </c>
      <c r="H55" s="40">
        <f>H29+H41</f>
        <v>19399.301586657675</v>
      </c>
      <c r="I55" s="40">
        <f>I29+I41</f>
        <v>19907</v>
      </c>
    </row>
    <row r="56" spans="1:9" x14ac:dyDescent="0.2">
      <c r="A56" s="37" t="s">
        <v>101</v>
      </c>
      <c r="B56" s="40">
        <v>10517</v>
      </c>
      <c r="C56" s="40">
        <v>11903</v>
      </c>
      <c r="D56" s="40">
        <f>C56-B56</f>
        <v>1386</v>
      </c>
      <c r="E56" s="40">
        <f>E30+E45</f>
        <v>13121</v>
      </c>
      <c r="F56" s="70">
        <f>E56-C56</f>
        <v>1218</v>
      </c>
      <c r="G56" s="40">
        <f>G30+G45</f>
        <v>13897.733983261163</v>
      </c>
      <c r="H56" s="40">
        <f>H30+H45</f>
        <v>14254.905880896751</v>
      </c>
      <c r="I56" s="40">
        <f>I30+I45</f>
        <v>14612.077778532337</v>
      </c>
    </row>
    <row r="57" spans="1:9" x14ac:dyDescent="0.2">
      <c r="A57" s="37" t="s">
        <v>102</v>
      </c>
      <c r="B57" s="40">
        <v>4356</v>
      </c>
      <c r="C57" s="40">
        <v>4627</v>
      </c>
      <c r="D57" s="40">
        <f>C57-B57</f>
        <v>271</v>
      </c>
      <c r="E57" s="40">
        <f>E31+E46</f>
        <v>5005</v>
      </c>
      <c r="F57" s="70">
        <f>E57-C57</f>
        <v>378</v>
      </c>
      <c r="G57" s="40">
        <f>G31+G46</f>
        <v>4993.8691900541835</v>
      </c>
      <c r="H57" s="40">
        <f>H31+H46</f>
        <v>5144.3957057609223</v>
      </c>
      <c r="I57" s="40">
        <f>I55-I56</f>
        <v>5294.9222214676629</v>
      </c>
    </row>
    <row r="58" spans="1:9" x14ac:dyDescent="0.2">
      <c r="A58" s="37" t="s">
        <v>103</v>
      </c>
      <c r="B58" s="43">
        <f>B56/B55</f>
        <v>0.70712028508034697</v>
      </c>
      <c r="C58" s="43">
        <f>C56/C55</f>
        <v>0.72008469449485779</v>
      </c>
      <c r="D58" s="37"/>
      <c r="E58" s="43">
        <f>E56/E55</f>
        <v>0.72387730332119604</v>
      </c>
      <c r="F58" s="37"/>
      <c r="G58" s="43">
        <f>G56/G55</f>
        <v>0.73565667538961999</v>
      </c>
      <c r="H58" s="43">
        <f>H56/H55</f>
        <v>0.73481541679319518</v>
      </c>
      <c r="I58" s="43">
        <f>I56/I55</f>
        <v>0.73401706829418478</v>
      </c>
    </row>
    <row r="59" spans="1:9" x14ac:dyDescent="0.2">
      <c r="A59" s="37" t="s">
        <v>104</v>
      </c>
      <c r="B59" s="43">
        <f>B57/B55</f>
        <v>0.29287971491965309</v>
      </c>
      <c r="C59" s="43">
        <f>C57/C55</f>
        <v>0.27991530550514215</v>
      </c>
      <c r="D59" s="37"/>
      <c r="E59" s="43">
        <f>E57/E55</f>
        <v>0.2761226966788039</v>
      </c>
      <c r="F59" s="37"/>
      <c r="G59" s="43">
        <f>1-G58</f>
        <v>0.26434332461038001</v>
      </c>
      <c r="H59" s="43">
        <f>1-H58</f>
        <v>0.26518458320680482</v>
      </c>
      <c r="I59" s="43">
        <f>1-I58</f>
        <v>0.26598293170581522</v>
      </c>
    </row>
    <row r="60" spans="1:9" ht="15.75" x14ac:dyDescent="0.2">
      <c r="A60" s="213"/>
      <c r="B60" s="213"/>
      <c r="C60" s="213"/>
      <c r="D60" s="214"/>
      <c r="E60" s="215"/>
      <c r="F60" s="214"/>
      <c r="G60" s="215"/>
      <c r="H60" s="215"/>
      <c r="I60" s="216"/>
    </row>
    <row r="61" spans="1:9" x14ac:dyDescent="0.2">
      <c r="A61" s="64" t="s">
        <v>93</v>
      </c>
      <c r="B61" s="40"/>
      <c r="C61" s="40"/>
      <c r="D61" s="40"/>
      <c r="E61" s="40"/>
      <c r="F61" s="37"/>
      <c r="G61" s="40"/>
      <c r="H61" s="40"/>
      <c r="I61" s="40"/>
    </row>
    <row r="62" spans="1:9" x14ac:dyDescent="0.2">
      <c r="A62" s="37" t="s">
        <v>1</v>
      </c>
      <c r="B62" s="40">
        <v>229</v>
      </c>
      <c r="C62" s="40">
        <v>197</v>
      </c>
      <c r="D62" s="40">
        <f t="shared" ref="D62:D68" si="0">C62-B62</f>
        <v>-32</v>
      </c>
      <c r="E62" s="40">
        <v>265</v>
      </c>
      <c r="F62" s="40">
        <f>+E62-C62</f>
        <v>68</v>
      </c>
      <c r="G62" s="40">
        <f t="shared" ref="G62:I63" si="1">G56/(1-G70)-G56</f>
        <v>140.38115134607324</v>
      </c>
      <c r="H62" s="40">
        <f t="shared" si="1"/>
        <v>143.98894829188612</v>
      </c>
      <c r="I62" s="40">
        <f t="shared" si="1"/>
        <v>147.59674523770082</v>
      </c>
    </row>
    <row r="63" spans="1:9" x14ac:dyDescent="0.2">
      <c r="A63" s="37" t="s">
        <v>2</v>
      </c>
      <c r="B63" s="40">
        <v>598</v>
      </c>
      <c r="C63" s="40">
        <v>263</v>
      </c>
      <c r="D63" s="40">
        <f t="shared" si="0"/>
        <v>-335</v>
      </c>
      <c r="E63" s="40">
        <v>530</v>
      </c>
      <c r="F63" s="40">
        <f t="shared" ref="F63:F68" si="2">+E63-C63</f>
        <v>267</v>
      </c>
      <c r="G63" s="40">
        <f t="shared" si="1"/>
        <v>208.07788291892484</v>
      </c>
      <c r="H63" s="40">
        <f t="shared" si="1"/>
        <v>214.34982107337237</v>
      </c>
      <c r="I63" s="40">
        <f t="shared" si="1"/>
        <v>220.62175922781989</v>
      </c>
    </row>
    <row r="64" spans="1:9" x14ac:dyDescent="0.2">
      <c r="A64" s="37" t="s">
        <v>8</v>
      </c>
      <c r="B64" s="40">
        <v>146</v>
      </c>
      <c r="C64" s="40">
        <v>79</v>
      </c>
      <c r="D64" s="40">
        <f t="shared" si="0"/>
        <v>-67</v>
      </c>
      <c r="E64" s="139">
        <v>107</v>
      </c>
      <c r="F64" s="40">
        <f t="shared" si="2"/>
        <v>28</v>
      </c>
      <c r="G64" s="140" t="s">
        <v>32</v>
      </c>
      <c r="H64" s="40"/>
      <c r="I64" s="40"/>
    </row>
    <row r="65" spans="1:10" x14ac:dyDescent="0.2">
      <c r="A65" s="37" t="s">
        <v>10</v>
      </c>
      <c r="B65" s="40">
        <v>3230</v>
      </c>
      <c r="C65" s="40">
        <v>2765</v>
      </c>
      <c r="D65" s="40">
        <f t="shared" si="0"/>
        <v>-465</v>
      </c>
      <c r="E65" s="139">
        <v>2849</v>
      </c>
      <c r="F65" s="40">
        <f t="shared" si="2"/>
        <v>84</v>
      </c>
      <c r="G65" s="140" t="s">
        <v>32</v>
      </c>
      <c r="H65" s="40"/>
      <c r="I65" s="40"/>
    </row>
    <row r="66" spans="1:10" x14ac:dyDescent="0.2">
      <c r="A66" s="37" t="s">
        <v>7</v>
      </c>
      <c r="B66" s="40">
        <v>456</v>
      </c>
      <c r="C66" s="40">
        <v>324</v>
      </c>
      <c r="D66" s="40">
        <f t="shared" si="0"/>
        <v>-132</v>
      </c>
      <c r="E66" s="139">
        <v>462</v>
      </c>
      <c r="F66" s="40">
        <f t="shared" si="2"/>
        <v>138</v>
      </c>
      <c r="G66" s="140" t="s">
        <v>32</v>
      </c>
      <c r="H66" s="40"/>
      <c r="I66" s="40"/>
    </row>
    <row r="67" spans="1:10" x14ac:dyDescent="0.2">
      <c r="A67" s="37" t="s">
        <v>11</v>
      </c>
      <c r="B67" s="40">
        <f>SUM(B62:B66)</f>
        <v>4659</v>
      </c>
      <c r="C67" s="40">
        <f>SUM(C62:C66)</f>
        <v>3628</v>
      </c>
      <c r="D67" s="40">
        <f t="shared" si="0"/>
        <v>-1031</v>
      </c>
      <c r="E67" s="139">
        <v>4215</v>
      </c>
      <c r="F67" s="40">
        <f t="shared" si="2"/>
        <v>587</v>
      </c>
      <c r="G67" s="140" t="s">
        <v>32</v>
      </c>
      <c r="H67" s="40"/>
      <c r="I67" s="40"/>
    </row>
    <row r="68" spans="1:10" x14ac:dyDescent="0.2">
      <c r="A68" s="37" t="s">
        <v>9</v>
      </c>
      <c r="B68" s="40">
        <v>19532</v>
      </c>
      <c r="C68" s="40">
        <v>20158</v>
      </c>
      <c r="D68" s="40">
        <f t="shared" si="0"/>
        <v>626</v>
      </c>
      <c r="E68" s="139">
        <v>22341</v>
      </c>
      <c r="F68" s="40">
        <f t="shared" si="2"/>
        <v>2183</v>
      </c>
      <c r="G68" s="140" t="s">
        <v>32</v>
      </c>
      <c r="H68" s="40"/>
      <c r="I68" s="40"/>
    </row>
    <row r="69" spans="1:10" ht="14.25" x14ac:dyDescent="0.2">
      <c r="A69" s="37"/>
      <c r="B69" s="174"/>
      <c r="C69" s="174"/>
      <c r="D69" s="37"/>
      <c r="E69" s="42"/>
      <c r="F69" s="37"/>
      <c r="G69" s="43"/>
      <c r="H69" s="43"/>
      <c r="I69" s="43"/>
    </row>
    <row r="70" spans="1:10" x14ac:dyDescent="0.2">
      <c r="A70" s="37" t="s">
        <v>4</v>
      </c>
      <c r="B70" s="43">
        <f>B62/B81</f>
        <v>2.1310254978596687E-2</v>
      </c>
      <c r="C70" s="43">
        <f>C62/C81</f>
        <v>1.6280991735537192E-2</v>
      </c>
      <c r="D70" s="42"/>
      <c r="E70" s="218">
        <v>0.01</v>
      </c>
      <c r="F70" s="37"/>
      <c r="G70" s="43">
        <v>0.01</v>
      </c>
      <c r="H70" s="43">
        <f>G70</f>
        <v>0.01</v>
      </c>
      <c r="I70" s="43">
        <f>H70</f>
        <v>0.01</v>
      </c>
    </row>
    <row r="71" spans="1:10" x14ac:dyDescent="0.2">
      <c r="A71" s="37" t="s">
        <v>3</v>
      </c>
      <c r="B71" s="43">
        <f>B63/B82</f>
        <v>0.12071053693984658</v>
      </c>
      <c r="C71" s="43">
        <f>C63/C82</f>
        <v>5.3783231083844578E-2</v>
      </c>
      <c r="D71" s="42"/>
      <c r="E71" s="218">
        <v>4.2999999999999997E-2</v>
      </c>
      <c r="F71" s="37"/>
      <c r="G71" s="43">
        <v>0.04</v>
      </c>
      <c r="H71" s="43">
        <f>G71</f>
        <v>0.04</v>
      </c>
      <c r="I71" s="43">
        <f>H71</f>
        <v>0.04</v>
      </c>
      <c r="J71" s="4" t="s">
        <v>130</v>
      </c>
    </row>
    <row r="72" spans="1:10" x14ac:dyDescent="0.2">
      <c r="A72" s="37" t="s">
        <v>5</v>
      </c>
      <c r="B72" s="43">
        <f>(B62+B63)/B83</f>
        <v>5.2675159235668789E-2</v>
      </c>
      <c r="C72" s="43">
        <f>(C62+C63)/C83</f>
        <v>2.7074749852854619E-2</v>
      </c>
      <c r="D72" s="42"/>
      <c r="E72" s="43">
        <f>(E62+E63)/E83</f>
        <v>4.2016806722689079E-2</v>
      </c>
      <c r="F72" s="37"/>
      <c r="G72" s="43">
        <f>(G62+G63)/G83</f>
        <v>1.8019499676671179E-2</v>
      </c>
      <c r="H72" s="43">
        <f>(H62+H63)/H83</f>
        <v>1.8047362828689548E-2</v>
      </c>
      <c r="I72" s="43">
        <f>(I62+I63)/I83</f>
        <v>1.8073810251208761E-2</v>
      </c>
    </row>
    <row r="73" spans="1:10" x14ac:dyDescent="0.2">
      <c r="A73" s="37"/>
      <c r="B73" s="43"/>
      <c r="C73" s="43"/>
      <c r="D73" s="42"/>
      <c r="E73" s="42"/>
      <c r="F73" s="37"/>
      <c r="G73" s="37"/>
      <c r="H73" s="37"/>
      <c r="I73" s="37"/>
    </row>
    <row r="74" spans="1:10" x14ac:dyDescent="0.2">
      <c r="A74" s="37"/>
      <c r="B74" s="43"/>
      <c r="C74" s="43"/>
      <c r="D74" s="42"/>
      <c r="E74" s="42"/>
      <c r="F74" s="37"/>
      <c r="G74" s="37"/>
      <c r="H74" s="37"/>
      <c r="I74" s="37"/>
    </row>
    <row r="75" spans="1:10" x14ac:dyDescent="0.2">
      <c r="A75" s="37" t="s">
        <v>38</v>
      </c>
      <c r="B75" s="43"/>
      <c r="C75" s="43"/>
      <c r="D75" s="42"/>
      <c r="E75" s="42"/>
      <c r="F75" s="37"/>
      <c r="G75" s="154">
        <f>0.0005*8*E81</f>
        <v>53.544000000000004</v>
      </c>
      <c r="H75" s="154">
        <f>G75</f>
        <v>53.544000000000004</v>
      </c>
      <c r="I75" s="154">
        <f>H75</f>
        <v>53.544000000000004</v>
      </c>
    </row>
    <row r="76" spans="1:10" x14ac:dyDescent="0.2">
      <c r="A76" s="37" t="s">
        <v>39</v>
      </c>
      <c r="B76" s="43"/>
      <c r="C76" s="43"/>
      <c r="D76" s="42"/>
      <c r="E76" s="42"/>
      <c r="F76" s="37"/>
      <c r="G76" s="154">
        <f>0.001*8*E82</f>
        <v>44.28</v>
      </c>
      <c r="H76" s="154">
        <f>G76</f>
        <v>44.28</v>
      </c>
      <c r="I76" s="154">
        <f>H76</f>
        <v>44.28</v>
      </c>
    </row>
    <row r="77" spans="1:10" x14ac:dyDescent="0.2">
      <c r="A77" s="37" t="s">
        <v>47</v>
      </c>
      <c r="B77" s="43"/>
      <c r="C77" s="43"/>
      <c r="D77" s="42"/>
      <c r="E77" s="42"/>
      <c r="F77" s="37"/>
      <c r="G77" s="154">
        <f>G75+G76</f>
        <v>97.824000000000012</v>
      </c>
      <c r="H77" s="154">
        <f>H75+H76</f>
        <v>97.824000000000012</v>
      </c>
      <c r="I77" s="154">
        <f>I75+I76</f>
        <v>97.824000000000012</v>
      </c>
    </row>
    <row r="78" spans="1:10" x14ac:dyDescent="0.2">
      <c r="A78" s="31"/>
      <c r="B78" s="38"/>
      <c r="C78" s="38"/>
      <c r="D78" s="44"/>
      <c r="E78" s="44"/>
      <c r="F78" s="31"/>
      <c r="G78" s="45"/>
      <c r="H78" s="45"/>
      <c r="I78" s="45"/>
    </row>
    <row r="79" spans="1:10" x14ac:dyDescent="0.2">
      <c r="A79" s="31"/>
      <c r="B79" s="38"/>
      <c r="C79" s="38"/>
      <c r="D79" s="44"/>
      <c r="E79" s="44"/>
      <c r="F79" s="33"/>
      <c r="G79" s="46">
        <v>2020</v>
      </c>
      <c r="H79" s="22">
        <v>2020</v>
      </c>
      <c r="I79" s="47">
        <v>2020</v>
      </c>
    </row>
    <row r="80" spans="1:10" ht="25.5" x14ac:dyDescent="0.2">
      <c r="A80" s="48" t="s">
        <v>64</v>
      </c>
      <c r="B80" s="48">
        <v>1990</v>
      </c>
      <c r="C80" s="48">
        <v>2000</v>
      </c>
      <c r="D80" s="29" t="s">
        <v>117</v>
      </c>
      <c r="E80" s="48">
        <v>2010</v>
      </c>
      <c r="F80" s="49" t="s">
        <v>44</v>
      </c>
      <c r="G80" s="50" t="s">
        <v>35</v>
      </c>
      <c r="H80" s="51" t="s">
        <v>36</v>
      </c>
      <c r="I80" s="50" t="s">
        <v>37</v>
      </c>
    </row>
    <row r="81" spans="1:13" x14ac:dyDescent="0.2">
      <c r="A81" s="31" t="s">
        <v>13</v>
      </c>
      <c r="B81" s="32">
        <f>B56+B62</f>
        <v>10746</v>
      </c>
      <c r="C81" s="32">
        <f>C56+C62</f>
        <v>12100</v>
      </c>
      <c r="D81" s="32">
        <f>C81-B81</f>
        <v>1354</v>
      </c>
      <c r="E81" s="32">
        <f>E56+E62</f>
        <v>13386</v>
      </c>
      <c r="F81" s="52" t="s">
        <v>41</v>
      </c>
      <c r="G81" s="53">
        <f t="shared" ref="G81:I82" si="3">G56+G62+G75</f>
        <v>14091.659134607236</v>
      </c>
      <c r="H81" s="53">
        <f t="shared" si="3"/>
        <v>14452.438829188637</v>
      </c>
      <c r="I81" s="53">
        <f t="shared" si="3"/>
        <v>14813.218523770038</v>
      </c>
    </row>
    <row r="82" spans="1:13" x14ac:dyDescent="0.2">
      <c r="A82" s="31" t="s">
        <v>14</v>
      </c>
      <c r="B82" s="32">
        <f>B57+B63</f>
        <v>4954</v>
      </c>
      <c r="C82" s="32">
        <f>C57+C63</f>
        <v>4890</v>
      </c>
      <c r="D82" s="32">
        <f>C82-B82</f>
        <v>-64</v>
      </c>
      <c r="E82" s="32">
        <f>E57+E63</f>
        <v>5535</v>
      </c>
      <c r="F82" s="52" t="s">
        <v>43</v>
      </c>
      <c r="G82" s="53">
        <f t="shared" si="3"/>
        <v>5246.2270729731081</v>
      </c>
      <c r="H82" s="53">
        <f t="shared" si="3"/>
        <v>5403.0255268342944</v>
      </c>
      <c r="I82" s="53">
        <f t="shared" si="3"/>
        <v>5559.8239806954825</v>
      </c>
    </row>
    <row r="83" spans="1:13" x14ac:dyDescent="0.2">
      <c r="A83" s="31" t="s">
        <v>12</v>
      </c>
      <c r="B83" s="32">
        <f>B81+B82</f>
        <v>15700</v>
      </c>
      <c r="C83" s="32">
        <f>C81+C82</f>
        <v>16990</v>
      </c>
      <c r="D83" s="32">
        <f>C83-B83</f>
        <v>1290</v>
      </c>
      <c r="E83" s="32">
        <f>E81+E82</f>
        <v>18921</v>
      </c>
      <c r="F83" s="52" t="s">
        <v>42</v>
      </c>
      <c r="G83" s="53">
        <f>G81+G82</f>
        <v>19337.886207580344</v>
      </c>
      <c r="H83" s="53">
        <f>H81+H82</f>
        <v>19855.464356022931</v>
      </c>
      <c r="I83" s="53">
        <f>I81+I82</f>
        <v>20373.04250446552</v>
      </c>
    </row>
    <row r="84" spans="1:13" x14ac:dyDescent="0.2">
      <c r="A84" s="31"/>
      <c r="B84" s="32"/>
      <c r="C84" s="32"/>
      <c r="D84" s="32"/>
      <c r="E84" s="32"/>
      <c r="F84" s="54" t="s">
        <v>205</v>
      </c>
      <c r="G84" s="75"/>
      <c r="H84" s="76"/>
      <c r="I84" s="77"/>
    </row>
    <row r="85" spans="1:13" x14ac:dyDescent="0.2">
      <c r="A85" s="31"/>
      <c r="B85" s="32"/>
      <c r="C85" s="39"/>
      <c r="D85" s="31"/>
      <c r="E85" s="31"/>
      <c r="F85" s="49" t="s">
        <v>44</v>
      </c>
      <c r="G85" s="78" t="s">
        <v>35</v>
      </c>
      <c r="H85" s="79" t="s">
        <v>36</v>
      </c>
      <c r="I85" s="78" t="s">
        <v>37</v>
      </c>
    </row>
    <row r="86" spans="1:13" x14ac:dyDescent="0.2">
      <c r="A86" s="31"/>
      <c r="B86" s="31"/>
      <c r="C86" s="31"/>
      <c r="D86" s="31"/>
      <c r="E86" s="31"/>
      <c r="F86" s="52" t="s">
        <v>41</v>
      </c>
      <c r="G86" s="53">
        <f>G81-E81</f>
        <v>705.65913460723641</v>
      </c>
      <c r="H86" s="53">
        <f>H81-E81</f>
        <v>1066.4388291886371</v>
      </c>
      <c r="I86" s="53">
        <f>I81-E81</f>
        <v>1427.2185237700378</v>
      </c>
    </row>
    <row r="87" spans="1:13" x14ac:dyDescent="0.2">
      <c r="A87" s="31"/>
      <c r="B87" s="31"/>
      <c r="C87" s="31"/>
      <c r="D87" s="31"/>
      <c r="E87" s="31"/>
      <c r="F87" s="52" t="s">
        <v>43</v>
      </c>
      <c r="G87" s="53">
        <f>G82-E82</f>
        <v>-288.77292702689192</v>
      </c>
      <c r="H87" s="53">
        <f>H82-E82</f>
        <v>-131.9744731657056</v>
      </c>
      <c r="I87" s="53">
        <f>I82-E82</f>
        <v>24.823980695482533</v>
      </c>
    </row>
    <row r="88" spans="1:13" x14ac:dyDescent="0.2">
      <c r="A88" s="31"/>
      <c r="B88" s="31"/>
      <c r="C88" s="31"/>
      <c r="D88" s="31"/>
      <c r="E88" s="31"/>
      <c r="F88" s="52" t="s">
        <v>42</v>
      </c>
      <c r="G88" s="53">
        <f>G83-E83</f>
        <v>416.88620758034449</v>
      </c>
      <c r="H88" s="53">
        <f>H83-E83</f>
        <v>934.46435602293059</v>
      </c>
      <c r="I88" s="53">
        <f>I83-E83</f>
        <v>1452.0425044655203</v>
      </c>
    </row>
    <row r="89" spans="1:13" x14ac:dyDescent="0.2">
      <c r="A89" s="31"/>
      <c r="B89" s="38"/>
      <c r="C89" s="38"/>
      <c r="D89" s="31"/>
      <c r="E89" s="31"/>
      <c r="F89" s="35" t="s">
        <v>91</v>
      </c>
      <c r="G89" s="36"/>
      <c r="H89" s="36"/>
      <c r="I89" s="55"/>
    </row>
    <row r="90" spans="1:13" x14ac:dyDescent="0.2">
      <c r="A90" s="31"/>
      <c r="B90" s="38"/>
      <c r="C90" s="38"/>
      <c r="D90" s="31"/>
      <c r="E90" s="31"/>
      <c r="F90" s="52" t="s">
        <v>41</v>
      </c>
      <c r="G90" s="53">
        <f t="shared" ref="G90:I91" si="4">(1-$G$16)*G86</f>
        <v>417.6975923359588</v>
      </c>
      <c r="H90" s="53">
        <f t="shared" si="4"/>
        <v>631.2522710750502</v>
      </c>
      <c r="I90" s="53">
        <f t="shared" si="4"/>
        <v>844.8069498141416</v>
      </c>
    </row>
    <row r="91" spans="1:13" x14ac:dyDescent="0.2">
      <c r="A91" s="31"/>
      <c r="B91" s="38"/>
      <c r="C91" s="38"/>
      <c r="D91" s="31"/>
      <c r="E91" s="31"/>
      <c r="F91" s="52" t="s">
        <v>43</v>
      </c>
      <c r="G91" s="53">
        <f t="shared" si="4"/>
        <v>-170.93204131492774</v>
      </c>
      <c r="H91" s="53">
        <f t="shared" si="4"/>
        <v>-78.119047834340236</v>
      </c>
      <c r="I91" s="53">
        <f t="shared" si="4"/>
        <v>14.693945646248341</v>
      </c>
    </row>
    <row r="92" spans="1:13" x14ac:dyDescent="0.2">
      <c r="A92" s="31"/>
      <c r="B92" s="38"/>
      <c r="C92" s="38"/>
      <c r="D92" s="31"/>
      <c r="E92" s="31"/>
      <c r="F92" s="52" t="s">
        <v>42</v>
      </c>
      <c r="G92" s="53">
        <f>G90+G91</f>
        <v>246.76555102103106</v>
      </c>
      <c r="H92" s="53">
        <f>H90+H91</f>
        <v>553.13322324070998</v>
      </c>
      <c r="I92" s="53">
        <f>I90+I91</f>
        <v>859.50089546038998</v>
      </c>
    </row>
    <row r="93" spans="1:13" ht="14.25" x14ac:dyDescent="0.2">
      <c r="A93" s="30"/>
      <c r="B93" s="67"/>
      <c r="C93" s="67"/>
      <c r="D93" s="30"/>
      <c r="E93" s="30"/>
      <c r="F93" s="69"/>
      <c r="G93" s="72"/>
      <c r="H93" s="72"/>
      <c r="I93" s="74"/>
    </row>
    <row r="94" spans="1:13" ht="14.25" x14ac:dyDescent="0.2">
      <c r="A94" s="30"/>
      <c r="B94" s="67"/>
      <c r="C94" s="67"/>
      <c r="D94" s="30"/>
      <c r="E94" s="30"/>
      <c r="F94" s="69"/>
      <c r="G94" s="72"/>
      <c r="H94" s="72"/>
      <c r="I94" s="74"/>
    </row>
    <row r="95" spans="1:13" ht="25.5" x14ac:dyDescent="0.2">
      <c r="A95" s="184" t="s">
        <v>155</v>
      </c>
      <c r="B95" s="181">
        <v>1990</v>
      </c>
      <c r="C95" s="182">
        <v>2000</v>
      </c>
      <c r="D95" s="183" t="s">
        <v>117</v>
      </c>
      <c r="E95" s="48">
        <v>2010</v>
      </c>
      <c r="F95" s="34"/>
      <c r="G95" s="175"/>
      <c r="H95" s="176" t="s">
        <v>185</v>
      </c>
      <c r="I95" s="177"/>
      <c r="K95" s="178"/>
      <c r="L95" s="179" t="s">
        <v>186</v>
      </c>
      <c r="M95" s="180"/>
    </row>
    <row r="96" spans="1:13" x14ac:dyDescent="0.2">
      <c r="A96" s="21" t="s">
        <v>150</v>
      </c>
      <c r="B96" s="32">
        <f t="shared" ref="B96:C98" si="5">B29</f>
        <v>11288</v>
      </c>
      <c r="C96" s="32">
        <f t="shared" si="5"/>
        <v>12465</v>
      </c>
      <c r="D96" s="32">
        <f>C96-B96</f>
        <v>1177</v>
      </c>
      <c r="E96" s="32">
        <f t="shared" ref="E96:I98" si="6">E29</f>
        <v>13629</v>
      </c>
      <c r="F96" s="34"/>
      <c r="G96" s="32">
        <f t="shared" si="6"/>
        <v>12380.603173315347</v>
      </c>
      <c r="H96" s="32">
        <f t="shared" si="6"/>
        <v>12888.301586657673</v>
      </c>
      <c r="I96" s="32">
        <f t="shared" si="6"/>
        <v>13396</v>
      </c>
      <c r="K96" s="3">
        <f>G96-E96</f>
        <v>-1248.3968266846532</v>
      </c>
      <c r="L96" s="3">
        <f>H96-E96</f>
        <v>-740.6984133423266</v>
      </c>
      <c r="M96" s="3">
        <f>I96-E96</f>
        <v>-233</v>
      </c>
    </row>
    <row r="97" spans="1:13" x14ac:dyDescent="0.2">
      <c r="A97" s="31" t="s">
        <v>151</v>
      </c>
      <c r="B97" s="32">
        <f t="shared" si="5"/>
        <v>7863</v>
      </c>
      <c r="C97" s="32">
        <f t="shared" si="5"/>
        <v>8720</v>
      </c>
      <c r="D97" s="32">
        <f>C97-B97</f>
        <v>857</v>
      </c>
      <c r="E97" s="32">
        <f t="shared" si="6"/>
        <v>9559</v>
      </c>
      <c r="F97" s="34"/>
      <c r="G97" s="32">
        <f t="shared" si="6"/>
        <v>8709.9022038987132</v>
      </c>
      <c r="H97" s="32">
        <f t="shared" si="6"/>
        <v>9067.074101534301</v>
      </c>
      <c r="I97" s="32">
        <f t="shared" si="6"/>
        <v>9424.245999169887</v>
      </c>
      <c r="K97" s="3">
        <f t="shared" ref="K97:K106" si="7">G97-E97</f>
        <v>-849.0977961012868</v>
      </c>
      <c r="L97" s="3">
        <f t="shared" ref="L97:L106" si="8">H97-E97</f>
        <v>-491.92589846569899</v>
      </c>
      <c r="M97" s="3">
        <f t="shared" ref="M97:M106" si="9">I97-E97</f>
        <v>-134.754000830113</v>
      </c>
    </row>
    <row r="98" spans="1:13" x14ac:dyDescent="0.2">
      <c r="A98" s="31" t="s">
        <v>152</v>
      </c>
      <c r="B98" s="32">
        <f t="shared" si="5"/>
        <v>3425</v>
      </c>
      <c r="C98" s="32">
        <f t="shared" si="5"/>
        <v>3745</v>
      </c>
      <c r="D98" s="32">
        <f>C98-B98</f>
        <v>320</v>
      </c>
      <c r="E98" s="32">
        <f t="shared" si="6"/>
        <v>4070</v>
      </c>
      <c r="F98" s="34"/>
      <c r="G98" s="32">
        <f t="shared" si="6"/>
        <v>3670.7009694166336</v>
      </c>
      <c r="H98" s="32">
        <f t="shared" si="6"/>
        <v>3821.2274851233724</v>
      </c>
      <c r="I98" s="32">
        <f t="shared" si="6"/>
        <v>3971.8645497448028</v>
      </c>
      <c r="K98" s="3">
        <f t="shared" si="7"/>
        <v>-399.2990305833664</v>
      </c>
      <c r="L98" s="3">
        <f t="shared" si="8"/>
        <v>-248.77251487662761</v>
      </c>
      <c r="M98" s="3">
        <f t="shared" si="9"/>
        <v>-98.135450255197156</v>
      </c>
    </row>
    <row r="99" spans="1:13" x14ac:dyDescent="0.2">
      <c r="A99" s="31"/>
      <c r="B99" s="31"/>
      <c r="C99" s="31"/>
      <c r="D99" s="31"/>
      <c r="E99" s="31"/>
      <c r="F99" s="34"/>
      <c r="G99" s="31"/>
      <c r="H99" s="31"/>
      <c r="I99" s="31"/>
      <c r="K99" s="3"/>
      <c r="L99" s="3"/>
      <c r="M99" s="3"/>
    </row>
    <row r="100" spans="1:13" x14ac:dyDescent="0.2">
      <c r="A100" s="21" t="s">
        <v>153</v>
      </c>
      <c r="B100" s="32">
        <f>B41</f>
        <v>3585</v>
      </c>
      <c r="C100" s="32">
        <f>C41</f>
        <v>4065</v>
      </c>
      <c r="D100" s="32">
        <f t="shared" ref="D100:D106" si="10">C100-B100</f>
        <v>480</v>
      </c>
      <c r="E100" s="32">
        <f>E41</f>
        <v>4497</v>
      </c>
      <c r="F100" s="34"/>
      <c r="G100" s="32">
        <f>G41</f>
        <v>6511</v>
      </c>
      <c r="H100" s="32">
        <f>H41</f>
        <v>6511</v>
      </c>
      <c r="I100" s="32">
        <f>I41</f>
        <v>6511</v>
      </c>
      <c r="K100" s="3">
        <f t="shared" si="7"/>
        <v>2014</v>
      </c>
      <c r="L100" s="3">
        <f t="shared" si="8"/>
        <v>2014</v>
      </c>
      <c r="M100" s="3">
        <f t="shared" si="9"/>
        <v>2014</v>
      </c>
    </row>
    <row r="101" spans="1:13" x14ac:dyDescent="0.2">
      <c r="A101" s="31" t="s">
        <v>151</v>
      </c>
      <c r="B101" s="32">
        <f>B45</f>
        <v>2654</v>
      </c>
      <c r="C101" s="32">
        <f>C45</f>
        <v>3183</v>
      </c>
      <c r="D101" s="32">
        <f t="shared" si="10"/>
        <v>529</v>
      </c>
      <c r="E101" s="32">
        <f t="shared" ref="E101:I102" si="11">E45</f>
        <v>3562</v>
      </c>
      <c r="F101" s="34"/>
      <c r="G101" s="32">
        <f t="shared" si="11"/>
        <v>5187.8317793624501</v>
      </c>
      <c r="H101" s="32">
        <f t="shared" si="11"/>
        <v>5187.8317793624501</v>
      </c>
      <c r="I101" s="32">
        <f t="shared" si="11"/>
        <v>5187.8317793624501</v>
      </c>
      <c r="K101" s="3">
        <f t="shared" si="7"/>
        <v>1625.8317793624501</v>
      </c>
      <c r="L101" s="3">
        <f t="shared" si="8"/>
        <v>1625.8317793624501</v>
      </c>
      <c r="M101" s="3">
        <f t="shared" si="9"/>
        <v>1625.8317793624501</v>
      </c>
    </row>
    <row r="102" spans="1:13" x14ac:dyDescent="0.2">
      <c r="A102" s="31" t="s">
        <v>152</v>
      </c>
      <c r="B102" s="32">
        <f>B46</f>
        <v>931</v>
      </c>
      <c r="C102" s="32">
        <f>C46</f>
        <v>882</v>
      </c>
      <c r="D102" s="32">
        <f t="shared" si="10"/>
        <v>-49</v>
      </c>
      <c r="E102" s="32">
        <f t="shared" si="11"/>
        <v>935</v>
      </c>
      <c r="F102" s="34"/>
      <c r="G102" s="32">
        <f t="shared" si="11"/>
        <v>1323.1682206375499</v>
      </c>
      <c r="H102" s="32">
        <f t="shared" si="11"/>
        <v>1323.1682206375499</v>
      </c>
      <c r="I102" s="32">
        <f t="shared" si="11"/>
        <v>1323.0915936546303</v>
      </c>
      <c r="K102" s="3">
        <f t="shared" si="7"/>
        <v>388.16822063754989</v>
      </c>
      <c r="L102" s="3">
        <f t="shared" si="8"/>
        <v>388.16822063754989</v>
      </c>
      <c r="M102" s="3">
        <f t="shared" si="9"/>
        <v>388.09159365463029</v>
      </c>
    </row>
    <row r="103" spans="1:13" x14ac:dyDescent="0.2">
      <c r="A103" s="31"/>
      <c r="B103" s="38"/>
      <c r="C103" s="38"/>
      <c r="D103" s="31"/>
      <c r="E103" s="31"/>
      <c r="F103" s="34"/>
      <c r="G103" s="31"/>
      <c r="H103" s="31"/>
      <c r="I103" s="31"/>
      <c r="K103" s="3"/>
      <c r="L103" s="3"/>
      <c r="M103" s="3"/>
    </row>
    <row r="104" spans="1:13" x14ac:dyDescent="0.2">
      <c r="A104" s="21" t="s">
        <v>154</v>
      </c>
      <c r="B104" s="32">
        <f t="shared" ref="B104:C106" si="12">B55</f>
        <v>14873</v>
      </c>
      <c r="C104" s="32">
        <f t="shared" si="12"/>
        <v>16530</v>
      </c>
      <c r="D104" s="32">
        <f t="shared" si="10"/>
        <v>1657</v>
      </c>
      <c r="E104" s="32">
        <f>E55</f>
        <v>18126</v>
      </c>
      <c r="F104" s="34"/>
      <c r="G104" s="32">
        <f>G55</f>
        <v>18891.603173315347</v>
      </c>
      <c r="H104" s="32">
        <f>H55</f>
        <v>19399.301586657675</v>
      </c>
      <c r="I104" s="32">
        <f>I55</f>
        <v>19907</v>
      </c>
      <c r="K104" s="3">
        <f t="shared" si="7"/>
        <v>765.60317331534679</v>
      </c>
      <c r="L104" s="3">
        <f t="shared" si="8"/>
        <v>1273.3015866576752</v>
      </c>
      <c r="M104" s="3">
        <f t="shared" si="9"/>
        <v>1781</v>
      </c>
    </row>
    <row r="105" spans="1:13" x14ac:dyDescent="0.2">
      <c r="A105" s="31" t="s">
        <v>151</v>
      </c>
      <c r="B105" s="32">
        <f t="shared" si="12"/>
        <v>10517</v>
      </c>
      <c r="C105" s="32">
        <f t="shared" si="12"/>
        <v>11903</v>
      </c>
      <c r="D105" s="32">
        <f t="shared" si="10"/>
        <v>1386</v>
      </c>
      <c r="E105" s="32">
        <f t="shared" ref="E105:I106" si="13">E56</f>
        <v>13121</v>
      </c>
      <c r="F105" s="34"/>
      <c r="G105" s="32">
        <f t="shared" si="13"/>
        <v>13897.733983261163</v>
      </c>
      <c r="H105" s="32">
        <f t="shared" si="13"/>
        <v>14254.905880896751</v>
      </c>
      <c r="I105" s="32">
        <f t="shared" si="13"/>
        <v>14612.077778532337</v>
      </c>
      <c r="K105" s="3">
        <f t="shared" si="7"/>
        <v>776.7339832611633</v>
      </c>
      <c r="L105" s="3">
        <f t="shared" si="8"/>
        <v>1133.9058808967511</v>
      </c>
      <c r="M105" s="3">
        <f t="shared" si="9"/>
        <v>1491.0777785323371</v>
      </c>
    </row>
    <row r="106" spans="1:13" x14ac:dyDescent="0.2">
      <c r="A106" s="31" t="s">
        <v>152</v>
      </c>
      <c r="B106" s="32">
        <f t="shared" si="12"/>
        <v>4356</v>
      </c>
      <c r="C106" s="32">
        <f t="shared" si="12"/>
        <v>4627</v>
      </c>
      <c r="D106" s="32">
        <f t="shared" si="10"/>
        <v>271</v>
      </c>
      <c r="E106" s="32">
        <f t="shared" si="13"/>
        <v>5005</v>
      </c>
      <c r="F106" s="34"/>
      <c r="G106" s="32">
        <f t="shared" si="13"/>
        <v>4993.8691900541835</v>
      </c>
      <c r="H106" s="32">
        <f t="shared" si="13"/>
        <v>5144.3957057609223</v>
      </c>
      <c r="I106" s="32">
        <f t="shared" si="13"/>
        <v>5294.9222214676629</v>
      </c>
      <c r="K106" s="3">
        <f t="shared" si="7"/>
        <v>-11.130809945816509</v>
      </c>
      <c r="L106" s="3">
        <f t="shared" si="8"/>
        <v>139.39570576092228</v>
      </c>
      <c r="M106" s="3">
        <f t="shared" si="9"/>
        <v>289.92222146766289</v>
      </c>
    </row>
    <row r="107" spans="1:13" ht="14.25" x14ac:dyDescent="0.2">
      <c r="A107" s="30"/>
      <c r="B107" s="67"/>
      <c r="C107" s="67"/>
      <c r="D107" s="30"/>
      <c r="E107" s="30"/>
      <c r="F107" s="69"/>
      <c r="G107" s="72"/>
      <c r="H107" s="72"/>
      <c r="I107" s="74"/>
    </row>
    <row r="108" spans="1:13" ht="14.25" x14ac:dyDescent="0.2">
      <c r="A108" s="30"/>
      <c r="B108" s="67"/>
      <c r="C108" s="67"/>
      <c r="D108" s="30"/>
      <c r="E108" s="30"/>
      <c r="F108" s="69"/>
      <c r="G108" s="72"/>
      <c r="H108" s="72"/>
      <c r="I108" s="74"/>
    </row>
    <row r="109" spans="1:13" s="31" customFormat="1" x14ac:dyDescent="0.2">
      <c r="A109" s="222" t="s">
        <v>206</v>
      </c>
      <c r="B109" s="38"/>
      <c r="C109" s="38"/>
      <c r="E109" s="57" t="s">
        <v>187</v>
      </c>
      <c r="F109" s="34"/>
      <c r="G109" s="45"/>
      <c r="H109" s="58"/>
      <c r="I109" s="56"/>
      <c r="J109" s="34"/>
      <c r="K109" s="34"/>
      <c r="L109" s="34"/>
    </row>
    <row r="110" spans="1:13" s="31" customFormat="1" x14ac:dyDescent="0.2">
      <c r="A110" s="222" t="s">
        <v>207</v>
      </c>
      <c r="B110" s="38"/>
      <c r="C110" s="38"/>
      <c r="E110" s="219" t="s">
        <v>209</v>
      </c>
      <c r="F110" s="34"/>
      <c r="H110" s="59"/>
      <c r="J110" s="34"/>
      <c r="K110" s="34"/>
      <c r="L110" s="34"/>
    </row>
    <row r="111" spans="1:13" s="31" customFormat="1" x14ac:dyDescent="0.2">
      <c r="A111" s="21"/>
      <c r="B111" s="38"/>
      <c r="C111" s="38"/>
      <c r="F111" s="34"/>
      <c r="G111" s="60" t="s">
        <v>77</v>
      </c>
      <c r="H111" s="60" t="s">
        <v>78</v>
      </c>
      <c r="I111" s="61" t="s">
        <v>79</v>
      </c>
      <c r="J111" s="34"/>
      <c r="K111" s="34"/>
      <c r="L111" s="34"/>
    </row>
    <row r="112" spans="1:13" s="31" customFormat="1" x14ac:dyDescent="0.2">
      <c r="A112" s="21" t="s">
        <v>49</v>
      </c>
      <c r="B112" s="38"/>
      <c r="C112" s="62" t="s">
        <v>208</v>
      </c>
      <c r="E112" s="21" t="s">
        <v>49</v>
      </c>
      <c r="F112" s="34"/>
      <c r="G112" s="45"/>
      <c r="I112" s="56"/>
      <c r="J112" s="34"/>
      <c r="K112" s="34"/>
      <c r="L112" s="34"/>
    </row>
    <row r="113" spans="1:12" s="31" customFormat="1" x14ac:dyDescent="0.2">
      <c r="A113" s="31" t="s">
        <v>50</v>
      </c>
      <c r="B113" s="38"/>
      <c r="C113" s="217">
        <v>972.45185037007388</v>
      </c>
      <c r="E113" s="31" t="s">
        <v>50</v>
      </c>
      <c r="F113" s="34"/>
      <c r="G113" s="45">
        <f>G56*C141</f>
        <v>1008.6481922511662</v>
      </c>
      <c r="H113" s="45">
        <f>H56*C141</f>
        <v>1034.5704605365545</v>
      </c>
      <c r="I113" s="45">
        <f>I56*C141</f>
        <v>1060.4927288219426</v>
      </c>
      <c r="J113" s="34"/>
      <c r="K113" s="34"/>
      <c r="L113" s="34"/>
    </row>
    <row r="114" spans="1:12" s="31" customFormat="1" x14ac:dyDescent="0.2">
      <c r="A114" s="31" t="s">
        <v>51</v>
      </c>
      <c r="B114" s="38"/>
      <c r="C114" s="217">
        <v>2135.3463346334634</v>
      </c>
      <c r="E114" s="31" t="s">
        <v>51</v>
      </c>
      <c r="F114" s="34"/>
      <c r="G114" s="45">
        <f>G56*C142</f>
        <v>2214.8276230216916</v>
      </c>
      <c r="H114" s="45">
        <f>H56*C142</f>
        <v>2271.7487143307617</v>
      </c>
      <c r="I114" s="45">
        <f>I56*C142</f>
        <v>2328.6698056398318</v>
      </c>
      <c r="J114" s="34"/>
      <c r="K114" s="34"/>
      <c r="L114" s="34"/>
    </row>
    <row r="115" spans="1:12" s="31" customFormat="1" x14ac:dyDescent="0.2">
      <c r="A115" s="31" t="s">
        <v>52</v>
      </c>
      <c r="B115" s="38"/>
      <c r="C115" s="217">
        <v>2845.2862086208615</v>
      </c>
      <c r="E115" s="31" t="s">
        <v>52</v>
      </c>
      <c r="F115" s="34"/>
      <c r="G115" s="45">
        <f>G56*C143</f>
        <v>2951.192688533059</v>
      </c>
      <c r="H115" s="45">
        <f>H56*C143</f>
        <v>3027.0383691397819</v>
      </c>
      <c r="I115" s="45">
        <f>I56*C143</f>
        <v>3102.8840497465044</v>
      </c>
      <c r="J115" s="34"/>
      <c r="K115" s="34"/>
      <c r="L115" s="34"/>
    </row>
    <row r="116" spans="1:12" s="31" customFormat="1" x14ac:dyDescent="0.2">
      <c r="A116" s="31" t="s">
        <v>53</v>
      </c>
      <c r="B116" s="38"/>
      <c r="C116" s="217">
        <v>4145.994479631976</v>
      </c>
      <c r="E116" s="31" t="s">
        <v>53</v>
      </c>
      <c r="F116" s="34"/>
      <c r="G116" s="45">
        <f>G56*C144</f>
        <v>4300.3155738483838</v>
      </c>
      <c r="H116" s="45">
        <f>H56*C144</f>
        <v>4410.8337256415643</v>
      </c>
      <c r="I116" s="45">
        <f>I56*C144</f>
        <v>4521.351877434744</v>
      </c>
      <c r="J116" s="34"/>
      <c r="K116" s="34"/>
      <c r="L116" s="34"/>
    </row>
    <row r="117" spans="1:12" s="31" customFormat="1" x14ac:dyDescent="0.2">
      <c r="A117" s="31" t="s">
        <v>54</v>
      </c>
      <c r="B117" s="38"/>
      <c r="C117" s="217">
        <v>5336.6949877995121</v>
      </c>
      <c r="E117" s="31" t="s">
        <v>54</v>
      </c>
      <c r="F117" s="34"/>
      <c r="G117" s="45">
        <f>G56*C145</f>
        <v>5535.3360168849013</v>
      </c>
      <c r="H117" s="45">
        <f>H56*C145</f>
        <v>5677.5942059956324</v>
      </c>
      <c r="I117" s="45">
        <f>I56*C145</f>
        <v>5819.8523951063626</v>
      </c>
      <c r="J117" s="34"/>
      <c r="K117" s="34"/>
      <c r="L117" s="34"/>
    </row>
    <row r="118" spans="1:12" s="31" customFormat="1" x14ac:dyDescent="0.2">
      <c r="A118" s="31" t="s">
        <v>55</v>
      </c>
      <c r="B118" s="38"/>
      <c r="C118" s="217">
        <v>6536.4817152686101</v>
      </c>
      <c r="E118" s="31" t="s">
        <v>55</v>
      </c>
      <c r="F118" s="34"/>
      <c r="G118" s="45">
        <f>G56*C146</f>
        <v>6779.7808840401358</v>
      </c>
      <c r="H118" s="45">
        <f>H56*C146</f>
        <v>6954.0213182593179</v>
      </c>
      <c r="I118" s="45">
        <f>I56*C146</f>
        <v>7128.2617524784982</v>
      </c>
      <c r="J118" s="34"/>
      <c r="K118" s="34"/>
      <c r="L118" s="34"/>
    </row>
    <row r="119" spans="1:12" s="31" customFormat="1" x14ac:dyDescent="0.2">
      <c r="A119" s="31" t="s">
        <v>56</v>
      </c>
      <c r="B119" s="38"/>
      <c r="C119" s="217">
        <v>13399</v>
      </c>
      <c r="E119" s="31" t="s">
        <v>56</v>
      </c>
      <c r="F119" s="34"/>
      <c r="G119" s="45">
        <f>G56*C147</f>
        <v>13897.733983261163</v>
      </c>
      <c r="H119" s="45">
        <f>H56*C147</f>
        <v>14254.905880896751</v>
      </c>
      <c r="I119" s="45">
        <f>I56*C147</f>
        <v>14612.077778532337</v>
      </c>
      <c r="J119" s="34"/>
      <c r="K119" s="34"/>
      <c r="L119" s="34"/>
    </row>
    <row r="120" spans="1:12" s="31" customFormat="1" x14ac:dyDescent="0.2">
      <c r="B120" s="38"/>
      <c r="C120" s="32"/>
      <c r="F120" s="34"/>
      <c r="G120" s="45"/>
      <c r="H120" s="45"/>
      <c r="I120" s="45"/>
      <c r="J120" s="34"/>
      <c r="K120" s="34"/>
      <c r="L120" s="34"/>
    </row>
    <row r="121" spans="1:12" s="31" customFormat="1" x14ac:dyDescent="0.2">
      <c r="A121" s="21" t="s">
        <v>0</v>
      </c>
      <c r="B121" s="38"/>
      <c r="C121" s="32"/>
      <c r="E121" s="21" t="s">
        <v>0</v>
      </c>
      <c r="F121" s="34"/>
      <c r="G121" s="45"/>
      <c r="H121" s="45"/>
      <c r="I121" s="45"/>
      <c r="J121" s="34"/>
      <c r="K121" s="34"/>
      <c r="L121" s="34"/>
    </row>
    <row r="122" spans="1:12" s="31" customFormat="1" x14ac:dyDescent="0.2">
      <c r="A122" s="31" t="s">
        <v>50</v>
      </c>
      <c r="B122" s="38"/>
      <c r="C122" s="217">
        <v>1209.4786557311461</v>
      </c>
      <c r="E122" s="31" t="s">
        <v>50</v>
      </c>
      <c r="F122" s="34"/>
      <c r="G122" s="45">
        <f>G57*C150</f>
        <v>1184.3094499772394</v>
      </c>
      <c r="H122" s="45">
        <f>H57*C150</f>
        <v>1220.0072162260394</v>
      </c>
      <c r="I122" s="45">
        <f>I57*C150</f>
        <v>1255.7049824748397</v>
      </c>
      <c r="J122" s="34"/>
      <c r="K122" s="34"/>
      <c r="L122" s="34"/>
    </row>
    <row r="123" spans="1:12" s="31" customFormat="1" x14ac:dyDescent="0.2">
      <c r="A123" s="31" t="s">
        <v>51</v>
      </c>
      <c r="B123" s="38"/>
      <c r="C123" s="217">
        <v>2032.2349234923493</v>
      </c>
      <c r="E123" s="31" t="s">
        <v>51</v>
      </c>
      <c r="F123" s="34"/>
      <c r="G123" s="45">
        <f>G57*C151</f>
        <v>1989.9441904667772</v>
      </c>
      <c r="H123" s="45">
        <f>H57*C151</f>
        <v>2049.9256104924348</v>
      </c>
      <c r="I123" s="45">
        <f>I57*C151</f>
        <v>2109.9070305180935</v>
      </c>
      <c r="J123" s="34"/>
      <c r="K123" s="34"/>
      <c r="L123" s="34"/>
    </row>
    <row r="124" spans="1:12" s="31" customFormat="1" x14ac:dyDescent="0.2">
      <c r="A124" s="31" t="s">
        <v>52</v>
      </c>
      <c r="B124" s="38"/>
      <c r="C124" s="217">
        <v>2407.8192619261927</v>
      </c>
      <c r="E124" s="31" t="s">
        <v>52</v>
      </c>
      <c r="F124" s="34"/>
      <c r="G124" s="45">
        <f>G57*C152</f>
        <v>2357.7126328141603</v>
      </c>
      <c r="H124" s="45">
        <f>H57*C152</f>
        <v>2428.7794257453997</v>
      </c>
      <c r="I124" s="45">
        <f>I57*C152</f>
        <v>2499.8462186766401</v>
      </c>
      <c r="J124" s="34"/>
      <c r="K124" s="34"/>
      <c r="L124" s="34"/>
    </row>
    <row r="125" spans="1:12" s="31" customFormat="1" x14ac:dyDescent="0.2">
      <c r="A125" s="31" t="s">
        <v>53</v>
      </c>
      <c r="B125" s="38"/>
      <c r="C125" s="217">
        <v>3153.5067004466969</v>
      </c>
      <c r="E125" s="31" t="s">
        <v>53</v>
      </c>
      <c r="F125" s="34"/>
      <c r="G125" s="45">
        <f>G57*C153</f>
        <v>3087.8823435274876</v>
      </c>
      <c r="H125" s="45">
        <f>H57*C153</f>
        <v>3180.9581035031929</v>
      </c>
      <c r="I125" s="45">
        <f>I57*C153</f>
        <v>3274.0338634788991</v>
      </c>
      <c r="J125" s="34"/>
      <c r="K125" s="34"/>
      <c r="L125" s="34"/>
    </row>
    <row r="126" spans="1:12" s="31" customFormat="1" x14ac:dyDescent="0.2">
      <c r="A126" s="31" t="s">
        <v>54</v>
      </c>
      <c r="B126" s="38"/>
      <c r="C126" s="217">
        <v>3881.4969398775952</v>
      </c>
      <c r="E126" s="31" t="s">
        <v>54</v>
      </c>
      <c r="F126" s="34"/>
      <c r="G126" s="45">
        <f>G57*C154</f>
        <v>3800.7231332047686</v>
      </c>
      <c r="H126" s="45">
        <f>H57*C154</f>
        <v>3915.2855273393066</v>
      </c>
      <c r="I126" s="45">
        <f>I57*C154</f>
        <v>4029.8479214738459</v>
      </c>
      <c r="J126" s="34"/>
      <c r="K126" s="34"/>
      <c r="L126" s="34"/>
    </row>
    <row r="127" spans="1:12" s="31" customFormat="1" x14ac:dyDescent="0.2">
      <c r="A127" s="31" t="s">
        <v>55</v>
      </c>
      <c r="B127" s="38"/>
      <c r="C127" s="217">
        <v>4156.6072722908912</v>
      </c>
      <c r="E127" s="31" t="s">
        <v>55</v>
      </c>
      <c r="F127" s="34"/>
      <c r="G127" s="45">
        <f>G57*C155</f>
        <v>4070.1084298526748</v>
      </c>
      <c r="H127" s="45">
        <f>H57*C155</f>
        <v>4192.7907062956629</v>
      </c>
      <c r="I127" s="45">
        <f>I57*C155</f>
        <v>4315.4729827386527</v>
      </c>
      <c r="J127" s="34"/>
      <c r="K127" s="34"/>
      <c r="L127" s="34"/>
    </row>
    <row r="128" spans="1:12" s="31" customFormat="1" x14ac:dyDescent="0.2">
      <c r="A128" s="31" t="s">
        <v>57</v>
      </c>
      <c r="B128" s="38"/>
      <c r="C128" s="217">
        <v>5100</v>
      </c>
      <c r="E128" s="31" t="s">
        <v>57</v>
      </c>
      <c r="F128" s="34"/>
      <c r="G128" s="45">
        <f>G57*C156</f>
        <v>4993.8691900541835</v>
      </c>
      <c r="H128" s="45">
        <f>H57*C156</f>
        <v>5144.3957057609223</v>
      </c>
      <c r="I128" s="45">
        <f>I57*C156</f>
        <v>5294.9222214676629</v>
      </c>
      <c r="J128" s="34"/>
      <c r="K128" s="34"/>
      <c r="L128" s="34"/>
    </row>
    <row r="129" spans="1:12" s="31" customFormat="1" x14ac:dyDescent="0.2">
      <c r="B129" s="38"/>
      <c r="C129" s="32"/>
      <c r="F129" s="34"/>
      <c r="G129" s="45"/>
      <c r="H129" s="45"/>
      <c r="I129" s="45"/>
      <c r="J129" s="34"/>
      <c r="K129" s="34"/>
      <c r="L129" s="34"/>
    </row>
    <row r="130" spans="1:12" s="31" customFormat="1" x14ac:dyDescent="0.2">
      <c r="A130" s="21" t="s">
        <v>58</v>
      </c>
      <c r="B130" s="38"/>
      <c r="C130" s="38"/>
      <c r="E130" s="21" t="s">
        <v>58</v>
      </c>
      <c r="F130" s="34"/>
      <c r="G130" s="45"/>
      <c r="H130" s="45"/>
      <c r="I130" s="45"/>
      <c r="J130" s="34"/>
      <c r="K130" s="34"/>
      <c r="L130" s="34"/>
    </row>
    <row r="131" spans="1:12" s="31" customFormat="1" x14ac:dyDescent="0.2">
      <c r="A131" s="31" t="s">
        <v>50</v>
      </c>
      <c r="B131" s="38"/>
      <c r="C131" s="32">
        <f>C113+C122</f>
        <v>2181.9305061012201</v>
      </c>
      <c r="E131" s="31" t="s">
        <v>50</v>
      </c>
      <c r="F131" s="34"/>
      <c r="G131" s="32">
        <f>G113+G122</f>
        <v>2192.9576422284053</v>
      </c>
      <c r="H131" s="32">
        <f>H113+H122</f>
        <v>2254.5776767625939</v>
      </c>
      <c r="I131" s="32">
        <f>I113+I122</f>
        <v>2316.1977112967825</v>
      </c>
      <c r="J131" s="34"/>
      <c r="K131" s="34"/>
      <c r="L131" s="34"/>
    </row>
    <row r="132" spans="1:12" s="31" customFormat="1" x14ac:dyDescent="0.2">
      <c r="A132" s="31" t="s">
        <v>51</v>
      </c>
      <c r="B132" s="38"/>
      <c r="C132" s="32">
        <f t="shared" ref="C132:C137" si="14">C114+C123</f>
        <v>4167.5812581258124</v>
      </c>
      <c r="E132" s="31" t="s">
        <v>51</v>
      </c>
      <c r="F132" s="34"/>
      <c r="G132" s="32">
        <f t="shared" ref="G132:I137" si="15">G114+G123</f>
        <v>4204.771813488469</v>
      </c>
      <c r="H132" s="32">
        <f t="shared" si="15"/>
        <v>4321.674324823196</v>
      </c>
      <c r="I132" s="32">
        <f t="shared" si="15"/>
        <v>4438.5768361579248</v>
      </c>
      <c r="J132" s="34"/>
      <c r="K132" s="34"/>
      <c r="L132" s="34"/>
    </row>
    <row r="133" spans="1:12" s="31" customFormat="1" x14ac:dyDescent="0.2">
      <c r="A133" s="31" t="s">
        <v>52</v>
      </c>
      <c r="B133" s="38"/>
      <c r="C133" s="32">
        <f t="shared" si="14"/>
        <v>5253.1054705470542</v>
      </c>
      <c r="E133" s="31" t="s">
        <v>52</v>
      </c>
      <c r="F133" s="34"/>
      <c r="G133" s="32">
        <f t="shared" si="15"/>
        <v>5308.9053213472198</v>
      </c>
      <c r="H133" s="32">
        <f t="shared" si="15"/>
        <v>5455.8177948851817</v>
      </c>
      <c r="I133" s="32">
        <f t="shared" si="15"/>
        <v>5602.7302684231445</v>
      </c>
      <c r="J133" s="34"/>
      <c r="K133" s="34"/>
      <c r="L133" s="34"/>
    </row>
    <row r="134" spans="1:12" s="31" customFormat="1" x14ac:dyDescent="0.2">
      <c r="A134" s="31" t="s">
        <v>53</v>
      </c>
      <c r="B134" s="38"/>
      <c r="C134" s="32">
        <f t="shared" si="14"/>
        <v>7299.5011800786724</v>
      </c>
      <c r="E134" s="31" t="s">
        <v>53</v>
      </c>
      <c r="F134" s="34"/>
      <c r="G134" s="32">
        <f t="shared" si="15"/>
        <v>7388.1979173758718</v>
      </c>
      <c r="H134" s="32">
        <f t="shared" si="15"/>
        <v>7591.7918291447568</v>
      </c>
      <c r="I134" s="32">
        <f t="shared" si="15"/>
        <v>7795.3857409136435</v>
      </c>
      <c r="J134" s="34"/>
      <c r="K134" s="34"/>
      <c r="L134" s="34"/>
    </row>
    <row r="135" spans="1:12" s="31" customFormat="1" x14ac:dyDescent="0.2">
      <c r="A135" s="31" t="s">
        <v>54</v>
      </c>
      <c r="B135" s="38"/>
      <c r="C135" s="32">
        <f t="shared" si="14"/>
        <v>9218.1919276771077</v>
      </c>
      <c r="E135" s="31" t="s">
        <v>54</v>
      </c>
      <c r="F135" s="34"/>
      <c r="G135" s="32">
        <f t="shared" si="15"/>
        <v>9336.0591500896699</v>
      </c>
      <c r="H135" s="32">
        <f t="shared" si="15"/>
        <v>9592.8797333349394</v>
      </c>
      <c r="I135" s="32">
        <f t="shared" si="15"/>
        <v>9849.7003165802089</v>
      </c>
      <c r="J135" s="34"/>
      <c r="K135" s="34"/>
      <c r="L135" s="34"/>
    </row>
    <row r="136" spans="1:12" s="31" customFormat="1" x14ac:dyDescent="0.2">
      <c r="A136" s="31" t="s">
        <v>55</v>
      </c>
      <c r="B136" s="38"/>
      <c r="C136" s="32">
        <f t="shared" si="14"/>
        <v>10693.088987559502</v>
      </c>
      <c r="E136" s="31" t="s">
        <v>55</v>
      </c>
      <c r="F136" s="34"/>
      <c r="G136" s="32">
        <f t="shared" si="15"/>
        <v>10849.889313892811</v>
      </c>
      <c r="H136" s="32">
        <f t="shared" si="15"/>
        <v>11146.81202455498</v>
      </c>
      <c r="I136" s="32">
        <f t="shared" si="15"/>
        <v>11443.734735217151</v>
      </c>
      <c r="J136" s="34"/>
      <c r="K136" s="34"/>
      <c r="L136" s="34"/>
    </row>
    <row r="137" spans="1:12" s="31" customFormat="1" x14ac:dyDescent="0.2">
      <c r="A137" s="31" t="s">
        <v>59</v>
      </c>
      <c r="B137" s="38"/>
      <c r="C137" s="32">
        <f t="shared" si="14"/>
        <v>18499</v>
      </c>
      <c r="E137" s="31" t="s">
        <v>59</v>
      </c>
      <c r="F137" s="34"/>
      <c r="G137" s="32">
        <f t="shared" si="15"/>
        <v>18891.603173315347</v>
      </c>
      <c r="H137" s="32">
        <f t="shared" si="15"/>
        <v>19399.301586657675</v>
      </c>
      <c r="I137" s="32">
        <f t="shared" si="15"/>
        <v>19907</v>
      </c>
      <c r="J137" s="34"/>
      <c r="K137" s="34"/>
      <c r="L137" s="34"/>
    </row>
    <row r="138" spans="1:12" s="31" customFormat="1" x14ac:dyDescent="0.2">
      <c r="B138" s="38"/>
      <c r="C138" s="38"/>
      <c r="F138" s="34"/>
      <c r="G138" s="45"/>
      <c r="H138" s="45"/>
      <c r="I138" s="56"/>
      <c r="J138" s="34"/>
      <c r="K138" s="34"/>
      <c r="L138" s="34"/>
    </row>
    <row r="139" spans="1:12" s="31" customFormat="1" x14ac:dyDescent="0.2">
      <c r="A139" s="21" t="s">
        <v>60</v>
      </c>
      <c r="B139" s="38"/>
      <c r="C139" s="62"/>
      <c r="F139" s="34"/>
      <c r="G139" s="45"/>
      <c r="H139" s="45"/>
      <c r="I139" s="56"/>
      <c r="J139" s="34"/>
      <c r="K139" s="34"/>
      <c r="L139" s="34"/>
    </row>
    <row r="140" spans="1:12" s="31" customFormat="1" x14ac:dyDescent="0.2">
      <c r="A140" s="21" t="s">
        <v>49</v>
      </c>
      <c r="B140" s="38"/>
      <c r="C140" s="62"/>
      <c r="F140" s="34"/>
      <c r="G140" s="45"/>
      <c r="H140" s="45"/>
      <c r="I140" s="56"/>
      <c r="J140" s="34"/>
      <c r="K140" s="34"/>
      <c r="L140" s="34"/>
    </row>
    <row r="141" spans="1:12" s="31" customFormat="1" x14ac:dyDescent="0.2">
      <c r="A141" s="31" t="s">
        <v>50</v>
      </c>
      <c r="B141" s="38"/>
      <c r="C141" s="38">
        <f>C113/C119</f>
        <v>7.2576449762674369E-2</v>
      </c>
      <c r="D141" s="38">
        <v>7.9143936214855229E-2</v>
      </c>
      <c r="E141" s="43">
        <f>+C141-D141</f>
        <v>-6.5674864521808596E-3</v>
      </c>
      <c r="F141" s="34"/>
      <c r="G141" s="45"/>
      <c r="H141" s="45"/>
      <c r="I141" s="56"/>
      <c r="J141" s="34"/>
      <c r="K141" s="34"/>
      <c r="L141" s="34"/>
    </row>
    <row r="142" spans="1:12" s="31" customFormat="1" x14ac:dyDescent="0.2">
      <c r="A142" s="31" t="s">
        <v>51</v>
      </c>
      <c r="B142" s="38"/>
      <c r="C142" s="38">
        <f>C114/C119</f>
        <v>0.15936609706944274</v>
      </c>
      <c r="D142" s="38">
        <v>0.18715904322282836</v>
      </c>
      <c r="E142" s="43">
        <f t="shared" ref="E142:E147" si="16">+C142-D142</f>
        <v>-2.7792946153385623E-2</v>
      </c>
      <c r="F142" s="34"/>
      <c r="G142" s="45"/>
      <c r="H142" s="45"/>
      <c r="I142" s="56"/>
      <c r="J142" s="34"/>
      <c r="K142" s="34"/>
      <c r="L142" s="34"/>
    </row>
    <row r="143" spans="1:12" s="31" customFormat="1" x14ac:dyDescent="0.2">
      <c r="A143" s="31" t="s">
        <v>52</v>
      </c>
      <c r="B143" s="38"/>
      <c r="C143" s="38">
        <f>C115/C119</f>
        <v>0.21235063875071733</v>
      </c>
      <c r="D143" s="38">
        <v>0.2491817037347881</v>
      </c>
      <c r="E143" s="43">
        <f t="shared" si="16"/>
        <v>-3.6831064984070766E-2</v>
      </c>
      <c r="F143" s="34"/>
      <c r="G143" s="45"/>
      <c r="H143" s="45"/>
      <c r="I143" s="56"/>
      <c r="J143" s="34"/>
      <c r="K143" s="34"/>
      <c r="L143" s="34"/>
    </row>
    <row r="144" spans="1:12" s="31" customFormat="1" x14ac:dyDescent="0.2">
      <c r="A144" s="31" t="s">
        <v>53</v>
      </c>
      <c r="B144" s="38"/>
      <c r="C144" s="38">
        <f>C116/C119</f>
        <v>0.30942566457436943</v>
      </c>
      <c r="D144" s="38">
        <v>0.37859840537138062</v>
      </c>
      <c r="E144" s="43">
        <f t="shared" si="16"/>
        <v>-6.917274079701119E-2</v>
      </c>
      <c r="F144" s="34"/>
      <c r="G144" s="45"/>
      <c r="H144" s="45"/>
      <c r="I144" s="56"/>
      <c r="J144" s="34"/>
      <c r="K144" s="34"/>
      <c r="L144" s="34"/>
    </row>
    <row r="145" spans="1:12" s="31" customFormat="1" x14ac:dyDescent="0.2">
      <c r="A145" s="31" t="s">
        <v>54</v>
      </c>
      <c r="B145" s="38"/>
      <c r="C145" s="38">
        <f>C117/C119</f>
        <v>0.39829054315990087</v>
      </c>
      <c r="D145" s="38">
        <v>0.51305077633235419</v>
      </c>
      <c r="E145" s="43">
        <f t="shared" si="16"/>
        <v>-0.11476023317245332</v>
      </c>
      <c r="F145" s="34"/>
      <c r="G145" s="45"/>
      <c r="H145" s="45"/>
      <c r="I145" s="56"/>
      <c r="J145" s="34"/>
      <c r="K145" s="34"/>
      <c r="L145" s="34"/>
    </row>
    <row r="146" spans="1:12" s="31" customFormat="1" x14ac:dyDescent="0.2">
      <c r="A146" s="31" t="s">
        <v>55</v>
      </c>
      <c r="B146" s="38"/>
      <c r="C146" s="38">
        <f>C118/C119</f>
        <v>0.48783354841918131</v>
      </c>
      <c r="D146" s="38">
        <v>0.61821233738984471</v>
      </c>
      <c r="E146" s="43">
        <f t="shared" si="16"/>
        <v>-0.13037878897066341</v>
      </c>
      <c r="F146" s="34"/>
      <c r="G146" s="45"/>
      <c r="H146" s="45"/>
      <c r="I146" s="56"/>
      <c r="J146" s="34"/>
      <c r="K146" s="34"/>
      <c r="L146" s="34"/>
    </row>
    <row r="147" spans="1:12" s="31" customFormat="1" x14ac:dyDescent="0.2">
      <c r="A147" s="31" t="s">
        <v>56</v>
      </c>
      <c r="B147" s="38"/>
      <c r="C147" s="38">
        <f>C119/C119</f>
        <v>1</v>
      </c>
      <c r="D147" s="38">
        <v>1</v>
      </c>
      <c r="E147" s="43">
        <f t="shared" si="16"/>
        <v>0</v>
      </c>
      <c r="F147" s="34"/>
      <c r="G147" s="45"/>
      <c r="H147" s="45"/>
      <c r="I147" s="56"/>
      <c r="J147" s="34"/>
      <c r="K147" s="34"/>
      <c r="L147" s="34"/>
    </row>
    <row r="148" spans="1:12" s="31" customFormat="1" x14ac:dyDescent="0.2">
      <c r="B148" s="38"/>
      <c r="C148" s="38"/>
      <c r="D148" s="38"/>
      <c r="F148" s="34"/>
      <c r="G148" s="45"/>
      <c r="H148" s="45"/>
      <c r="I148" s="56"/>
      <c r="J148" s="34"/>
      <c r="K148" s="34"/>
      <c r="L148" s="34"/>
    </row>
    <row r="149" spans="1:12" s="31" customFormat="1" x14ac:dyDescent="0.2">
      <c r="A149" s="21" t="s">
        <v>0</v>
      </c>
      <c r="B149" s="38"/>
      <c r="C149" s="38"/>
      <c r="D149" s="38"/>
      <c r="F149" s="34"/>
      <c r="G149" s="45"/>
      <c r="H149" s="45"/>
      <c r="I149" s="56"/>
      <c r="J149" s="34"/>
      <c r="K149" s="34"/>
      <c r="L149" s="34"/>
    </row>
    <row r="150" spans="1:12" s="31" customFormat="1" x14ac:dyDescent="0.2">
      <c r="A150" s="31" t="s">
        <v>50</v>
      </c>
      <c r="B150" s="38"/>
      <c r="C150" s="38">
        <f>C122/C128</f>
        <v>0.23715267759434236</v>
      </c>
      <c r="D150" s="38">
        <v>0.25698808234019499</v>
      </c>
      <c r="E150" s="43">
        <f t="shared" ref="E150:E165" si="17">+C150-D150</f>
        <v>-1.9835404745852631E-2</v>
      </c>
      <c r="F150" s="34"/>
      <c r="G150" s="45"/>
      <c r="H150" s="45"/>
      <c r="I150" s="56"/>
      <c r="J150" s="34"/>
      <c r="K150" s="34"/>
      <c r="L150" s="34"/>
    </row>
    <row r="151" spans="1:12" s="31" customFormat="1" x14ac:dyDescent="0.2">
      <c r="A151" s="31" t="s">
        <v>51</v>
      </c>
      <c r="B151" s="38"/>
      <c r="C151" s="38">
        <f>C123/C128</f>
        <v>0.39847743597889201</v>
      </c>
      <c r="D151" s="38">
        <v>0.46110509209100758</v>
      </c>
      <c r="E151" s="43">
        <f t="shared" si="17"/>
        <v>-6.2627656112115571E-2</v>
      </c>
      <c r="F151" s="34"/>
      <c r="G151" s="45"/>
      <c r="H151" s="45"/>
      <c r="I151" s="56"/>
      <c r="J151" s="34"/>
      <c r="K151" s="34"/>
      <c r="L151" s="34"/>
    </row>
    <row r="152" spans="1:12" s="31" customFormat="1" x14ac:dyDescent="0.2">
      <c r="A152" s="31" t="s">
        <v>52</v>
      </c>
      <c r="B152" s="38"/>
      <c r="C152" s="38">
        <f>C124/C128</f>
        <v>0.4721214239070966</v>
      </c>
      <c r="D152" s="38">
        <v>0.54192849404117005</v>
      </c>
      <c r="E152" s="43">
        <f t="shared" si="17"/>
        <v>-6.9807070134073446E-2</v>
      </c>
      <c r="F152" s="34"/>
      <c r="G152" s="45"/>
      <c r="H152" s="45"/>
      <c r="I152" s="56"/>
      <c r="J152" s="34"/>
      <c r="K152" s="34"/>
      <c r="L152" s="34"/>
    </row>
    <row r="153" spans="1:12" s="31" customFormat="1" x14ac:dyDescent="0.2">
      <c r="A153" s="31" t="s">
        <v>53</v>
      </c>
      <c r="B153" s="38"/>
      <c r="C153" s="38">
        <f>C125/C128</f>
        <v>0.61833464714641118</v>
      </c>
      <c r="D153" s="38">
        <v>0.68645720476706396</v>
      </c>
      <c r="E153" s="43">
        <f t="shared" si="17"/>
        <v>-6.8122557620652779E-2</v>
      </c>
      <c r="F153" s="34"/>
      <c r="G153" s="45"/>
      <c r="H153" s="45"/>
      <c r="I153" s="56"/>
      <c r="J153" s="34"/>
      <c r="K153" s="34"/>
      <c r="L153" s="34"/>
    </row>
    <row r="154" spans="1:12" s="31" customFormat="1" x14ac:dyDescent="0.2">
      <c r="A154" s="31" t="s">
        <v>54</v>
      </c>
      <c r="B154" s="38"/>
      <c r="C154" s="38">
        <f>C126/C128</f>
        <v>0.76107783134854812</v>
      </c>
      <c r="D154" s="38">
        <v>0.80303358613217768</v>
      </c>
      <c r="E154" s="43">
        <f t="shared" si="17"/>
        <v>-4.1955754783629562E-2</v>
      </c>
      <c r="F154" s="34"/>
      <c r="G154" s="45"/>
      <c r="H154" s="45"/>
      <c r="I154" s="56"/>
      <c r="J154" s="34"/>
      <c r="K154" s="34"/>
      <c r="L154" s="34"/>
    </row>
    <row r="155" spans="1:12" s="31" customFormat="1" x14ac:dyDescent="0.2">
      <c r="A155" s="31" t="s">
        <v>55</v>
      </c>
      <c r="B155" s="38"/>
      <c r="C155" s="38">
        <f>C127/C128</f>
        <v>0.81502103378252766</v>
      </c>
      <c r="D155" s="38">
        <v>0.8650054171180932</v>
      </c>
      <c r="E155" s="43">
        <f t="shared" si="17"/>
        <v>-4.9984383335565541E-2</v>
      </c>
      <c r="F155" s="34"/>
      <c r="G155" s="45"/>
      <c r="H155" s="45"/>
      <c r="I155" s="56"/>
      <c r="J155" s="34"/>
      <c r="K155" s="34"/>
      <c r="L155" s="34"/>
    </row>
    <row r="156" spans="1:12" s="31" customFormat="1" x14ac:dyDescent="0.2">
      <c r="A156" s="31" t="s">
        <v>57</v>
      </c>
      <c r="B156" s="38"/>
      <c r="C156" s="38">
        <f>C128/C128</f>
        <v>1</v>
      </c>
      <c r="D156" s="38">
        <v>1</v>
      </c>
      <c r="E156" s="43">
        <f t="shared" si="17"/>
        <v>0</v>
      </c>
      <c r="F156" s="34"/>
      <c r="G156" s="45"/>
      <c r="H156" s="45"/>
      <c r="I156" s="56"/>
      <c r="J156" s="34"/>
      <c r="K156" s="34"/>
      <c r="L156" s="34"/>
    </row>
    <row r="157" spans="1:12" s="31" customFormat="1" x14ac:dyDescent="0.2">
      <c r="B157" s="38"/>
      <c r="C157" s="38"/>
      <c r="D157" s="38"/>
      <c r="E157" s="43"/>
      <c r="F157" s="34"/>
      <c r="G157" s="45"/>
      <c r="H157" s="45"/>
      <c r="I157" s="56"/>
      <c r="J157" s="34"/>
      <c r="K157" s="34"/>
      <c r="L157" s="34"/>
    </row>
    <row r="158" spans="1:12" s="31" customFormat="1" x14ac:dyDescent="0.2">
      <c r="A158" s="21" t="s">
        <v>58</v>
      </c>
      <c r="B158" s="38"/>
      <c r="C158" s="38"/>
      <c r="D158" s="38"/>
      <c r="E158" s="43"/>
      <c r="F158" s="34"/>
      <c r="G158" s="45"/>
      <c r="H158" s="45"/>
      <c r="I158" s="56"/>
      <c r="J158" s="34"/>
      <c r="K158" s="34"/>
      <c r="L158" s="34"/>
    </row>
    <row r="159" spans="1:12" s="31" customFormat="1" x14ac:dyDescent="0.2">
      <c r="A159" s="31" t="s">
        <v>50</v>
      </c>
      <c r="B159" s="38"/>
      <c r="C159" s="38">
        <f>C131/C137</f>
        <v>0.11794856511709931</v>
      </c>
      <c r="D159" s="38">
        <v>0.12879612825166364</v>
      </c>
      <c r="E159" s="43">
        <f t="shared" si="17"/>
        <v>-1.0847563134564336E-2</v>
      </c>
      <c r="F159" s="34"/>
      <c r="G159" s="45"/>
      <c r="H159" s="45"/>
      <c r="I159" s="56"/>
      <c r="J159" s="34"/>
      <c r="K159" s="34"/>
      <c r="L159" s="34"/>
    </row>
    <row r="160" spans="1:12" s="31" customFormat="1" x14ac:dyDescent="0.2">
      <c r="A160" s="31" t="s">
        <v>51</v>
      </c>
      <c r="B160" s="38"/>
      <c r="C160" s="38">
        <f>C132/C137</f>
        <v>0.22528684026843679</v>
      </c>
      <c r="D160" s="38">
        <v>0.26364186327888689</v>
      </c>
      <c r="E160" s="43">
        <f t="shared" si="17"/>
        <v>-3.8355023010450101E-2</v>
      </c>
      <c r="F160" s="34"/>
      <c r="G160" s="45"/>
      <c r="H160" s="45"/>
      <c r="I160" s="56"/>
      <c r="J160" s="34"/>
      <c r="K160" s="34"/>
      <c r="L160" s="34"/>
    </row>
    <row r="161" spans="1:12" s="31" customFormat="1" x14ac:dyDescent="0.2">
      <c r="A161" s="31" t="s">
        <v>52</v>
      </c>
      <c r="B161" s="38"/>
      <c r="C161" s="38">
        <f>C133/C137</f>
        <v>0.28396699662398261</v>
      </c>
      <c r="D161" s="38">
        <v>0.33091349062310949</v>
      </c>
      <c r="E161" s="43">
        <f t="shared" si="17"/>
        <v>-4.694649399912687E-2</v>
      </c>
      <c r="F161" s="34"/>
      <c r="G161" s="45"/>
      <c r="H161" s="45"/>
      <c r="I161" s="56"/>
      <c r="J161" s="34"/>
      <c r="K161" s="34"/>
      <c r="L161" s="34"/>
    </row>
    <row r="162" spans="1:12" s="31" customFormat="1" x14ac:dyDescent="0.2">
      <c r="A162" s="31" t="s">
        <v>53</v>
      </c>
      <c r="B162" s="38"/>
      <c r="C162" s="38">
        <f>C134/C137</f>
        <v>0.39458896048860331</v>
      </c>
      <c r="D162" s="38">
        <v>0.46454930429522079</v>
      </c>
      <c r="E162" s="43">
        <f t="shared" si="17"/>
        <v>-6.9960343806617475E-2</v>
      </c>
      <c r="F162" s="34"/>
      <c r="G162" s="45"/>
      <c r="H162" s="45"/>
      <c r="I162" s="56"/>
      <c r="J162" s="34"/>
      <c r="K162" s="34"/>
      <c r="L162" s="34"/>
    </row>
    <row r="163" spans="1:12" s="31" customFormat="1" x14ac:dyDescent="0.2">
      <c r="A163" s="31" t="s">
        <v>54</v>
      </c>
      <c r="B163" s="38"/>
      <c r="C163" s="38">
        <f>C135/C137</f>
        <v>0.49830758028418337</v>
      </c>
      <c r="D163" s="38">
        <v>0.59401088929219603</v>
      </c>
      <c r="E163" s="43">
        <f t="shared" si="17"/>
        <v>-9.570330900801266E-2</v>
      </c>
      <c r="F163" s="34"/>
      <c r="G163" s="45"/>
      <c r="H163" s="45"/>
      <c r="I163" s="56"/>
      <c r="J163" s="34"/>
      <c r="K163" s="34"/>
      <c r="L163" s="34"/>
    </row>
    <row r="164" spans="1:12" s="31" customFormat="1" x14ac:dyDescent="0.2">
      <c r="A164" s="31" t="s">
        <v>55</v>
      </c>
      <c r="B164" s="38"/>
      <c r="C164" s="38">
        <f>C136/C137</f>
        <v>0.57803605533053148</v>
      </c>
      <c r="D164" s="38">
        <v>0.68711433756805806</v>
      </c>
      <c r="E164" s="43">
        <f t="shared" si="17"/>
        <v>-0.10907828223752658</v>
      </c>
      <c r="F164" s="34"/>
      <c r="G164" s="45"/>
      <c r="H164" s="45"/>
      <c r="I164" s="56"/>
      <c r="J164" s="34"/>
      <c r="K164" s="34"/>
      <c r="L164" s="34"/>
    </row>
    <row r="165" spans="1:12" s="31" customFormat="1" x14ac:dyDescent="0.2">
      <c r="A165" s="31" t="s">
        <v>59</v>
      </c>
      <c r="B165" s="38"/>
      <c r="C165" s="38">
        <f>C137/C137</f>
        <v>1</v>
      </c>
      <c r="D165" s="38">
        <v>1</v>
      </c>
      <c r="E165" s="43">
        <f t="shared" si="17"/>
        <v>0</v>
      </c>
      <c r="F165" s="34"/>
      <c r="G165" s="45"/>
      <c r="H165" s="45"/>
      <c r="I165" s="56"/>
      <c r="J165" s="34"/>
      <c r="K165" s="34"/>
      <c r="L165" s="34"/>
    </row>
    <row r="166" spans="1:12" s="31" customFormat="1" x14ac:dyDescent="0.2">
      <c r="B166" s="32"/>
      <c r="C166" s="32"/>
      <c r="F166" s="34"/>
      <c r="G166" s="45"/>
      <c r="H166" s="45"/>
      <c r="I166" s="56"/>
      <c r="J166" s="34"/>
      <c r="K166" s="34"/>
      <c r="L166" s="34"/>
    </row>
  </sheetData>
  <mergeCells count="1">
    <mergeCell ref="I2:I21"/>
  </mergeCells>
  <phoneticPr fontId="0" type="noConversion"/>
  <printOptions horizontalCentered="1" verticalCentered="1"/>
  <pageMargins left="0.75" right="0.75" top="0.75" bottom="0.75" header="0.5" footer="0.5"/>
  <pageSetup scale="70" orientation="landscape" horizontalDpi="4294967293" verticalDpi="300" r:id="rId1"/>
  <headerFooter alignWithMargins="0">
    <oddFooter>&amp;R&amp;P of &amp;N</oddFooter>
  </headerFooter>
  <rowBreaks count="4" manualBreakCount="4">
    <brk id="43" max="8" man="1"/>
    <brk id="77" max="8" man="1"/>
    <brk id="108" max="16383" man="1"/>
    <brk id="13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sqref="A1:H41"/>
    </sheetView>
  </sheetViews>
  <sheetFormatPr defaultRowHeight="12.75" x14ac:dyDescent="0.2"/>
  <cols>
    <col min="1" max="1" width="2.28515625" customWidth="1"/>
    <col min="2" max="2" width="47.5703125" customWidth="1"/>
    <col min="3" max="3" width="2.28515625" customWidth="1"/>
    <col min="8" max="8" width="12.5703125" customWidth="1"/>
  </cols>
  <sheetData>
    <row r="1" spans="1:3" ht="18.75" x14ac:dyDescent="0.3">
      <c r="A1" s="229" t="s">
        <v>240</v>
      </c>
      <c r="C1" s="28"/>
    </row>
    <row r="3" spans="1:3" x14ac:dyDescent="0.2">
      <c r="B3" t="s">
        <v>241</v>
      </c>
    </row>
    <row r="5" spans="1:3" x14ac:dyDescent="0.2">
      <c r="A5" s="21" t="s">
        <v>243</v>
      </c>
      <c r="B5" t="s">
        <v>242</v>
      </c>
      <c r="C5" s="21"/>
    </row>
    <row r="6" spans="1:3" x14ac:dyDescent="0.2">
      <c r="A6" s="21"/>
      <c r="C6" s="21"/>
    </row>
    <row r="7" spans="1:3" x14ac:dyDescent="0.2">
      <c r="A7" s="21" t="s">
        <v>249</v>
      </c>
      <c r="B7" t="s">
        <v>244</v>
      </c>
      <c r="C7" s="21"/>
    </row>
    <row r="8" spans="1:3" x14ac:dyDescent="0.2">
      <c r="A8" s="21"/>
      <c r="C8" s="21"/>
    </row>
    <row r="9" spans="1:3" x14ac:dyDescent="0.2">
      <c r="A9" s="21" t="s">
        <v>243</v>
      </c>
      <c r="B9" t="s">
        <v>245</v>
      </c>
      <c r="C9" s="21"/>
    </row>
    <row r="10" spans="1:3" x14ac:dyDescent="0.2">
      <c r="A10" s="21"/>
      <c r="C10" s="21"/>
    </row>
    <row r="11" spans="1:3" x14ac:dyDescent="0.2">
      <c r="A11" s="21" t="s">
        <v>249</v>
      </c>
      <c r="B11" t="s">
        <v>246</v>
      </c>
      <c r="C11" s="21"/>
    </row>
    <row r="12" spans="1:3" x14ac:dyDescent="0.2">
      <c r="A12" s="21"/>
      <c r="C12" s="21"/>
    </row>
    <row r="13" spans="1:3" x14ac:dyDescent="0.2">
      <c r="A13" s="21" t="s">
        <v>243</v>
      </c>
      <c r="B13" t="s">
        <v>247</v>
      </c>
      <c r="C13" s="21"/>
    </row>
    <row r="14" spans="1:3" x14ac:dyDescent="0.2">
      <c r="A14" s="21"/>
      <c r="C14" s="21"/>
    </row>
    <row r="15" spans="1:3" x14ac:dyDescent="0.2">
      <c r="A15" s="21" t="s">
        <v>249</v>
      </c>
      <c r="B15" t="s">
        <v>248</v>
      </c>
      <c r="C15" s="21"/>
    </row>
    <row r="16" spans="1:3" x14ac:dyDescent="0.2">
      <c r="A16" s="21"/>
      <c r="C16" s="21"/>
    </row>
    <row r="17" spans="1:4" x14ac:dyDescent="0.2">
      <c r="A17" s="21" t="s">
        <v>243</v>
      </c>
      <c r="B17" t="s">
        <v>250</v>
      </c>
    </row>
    <row r="18" spans="1:4" x14ac:dyDescent="0.2">
      <c r="A18" s="21"/>
    </row>
    <row r="19" spans="1:4" x14ac:dyDescent="0.2">
      <c r="A19" s="21" t="s">
        <v>249</v>
      </c>
      <c r="B19" s="227" t="s">
        <v>251</v>
      </c>
    </row>
    <row r="20" spans="1:4" x14ac:dyDescent="0.2">
      <c r="A20" s="21"/>
    </row>
    <row r="21" spans="1:4" x14ac:dyDescent="0.2">
      <c r="A21" s="21" t="s">
        <v>243</v>
      </c>
      <c r="B21" t="s">
        <v>252</v>
      </c>
      <c r="C21" s="21" t="s">
        <v>243</v>
      </c>
      <c r="D21" t="s">
        <v>254</v>
      </c>
    </row>
    <row r="22" spans="1:4" x14ac:dyDescent="0.2">
      <c r="A22" s="21"/>
      <c r="C22" s="21"/>
    </row>
    <row r="23" spans="1:4" x14ac:dyDescent="0.2">
      <c r="A23" s="21" t="s">
        <v>249</v>
      </c>
      <c r="B23" t="s">
        <v>253</v>
      </c>
      <c r="C23" s="21" t="s">
        <v>249</v>
      </c>
      <c r="D23" t="s">
        <v>255</v>
      </c>
    </row>
    <row r="24" spans="1:4" x14ac:dyDescent="0.2">
      <c r="A24" s="21"/>
      <c r="C24" s="21"/>
    </row>
    <row r="25" spans="1:4" x14ac:dyDescent="0.2">
      <c r="A25" s="21" t="s">
        <v>256</v>
      </c>
      <c r="B25" t="s">
        <v>257</v>
      </c>
      <c r="C25" s="21" t="s">
        <v>256</v>
      </c>
      <c r="D25" t="s">
        <v>262</v>
      </c>
    </row>
    <row r="26" spans="1:4" x14ac:dyDescent="0.2">
      <c r="C26" s="21"/>
    </row>
    <row r="27" spans="1:4" x14ac:dyDescent="0.2">
      <c r="A27" s="21" t="s">
        <v>249</v>
      </c>
      <c r="B27" t="s">
        <v>258</v>
      </c>
      <c r="C27" s="21" t="s">
        <v>249</v>
      </c>
      <c r="D27" t="s">
        <v>263</v>
      </c>
    </row>
    <row r="28" spans="1:4" x14ac:dyDescent="0.2">
      <c r="C28" s="21"/>
    </row>
    <row r="29" spans="1:4" x14ac:dyDescent="0.2">
      <c r="A29" s="228" t="s">
        <v>259</v>
      </c>
      <c r="B29" t="s">
        <v>264</v>
      </c>
      <c r="C29" s="230" t="s">
        <v>259</v>
      </c>
      <c r="D29" t="s">
        <v>265</v>
      </c>
    </row>
    <row r="30" spans="1:4" x14ac:dyDescent="0.2">
      <c r="C30" s="21"/>
    </row>
    <row r="31" spans="1:4" x14ac:dyDescent="0.2">
      <c r="A31" s="21" t="s">
        <v>249</v>
      </c>
      <c r="B31" t="s">
        <v>260</v>
      </c>
      <c r="C31" s="21" t="s">
        <v>249</v>
      </c>
      <c r="D31" t="s">
        <v>261</v>
      </c>
    </row>
    <row r="32" spans="1:4" x14ac:dyDescent="0.2">
      <c r="C32" s="21"/>
    </row>
    <row r="33" spans="1:4" x14ac:dyDescent="0.2">
      <c r="A33" s="21" t="s">
        <v>256</v>
      </c>
      <c r="B33" t="s">
        <v>266</v>
      </c>
      <c r="C33" s="21" t="s">
        <v>256</v>
      </c>
      <c r="D33" t="s">
        <v>266</v>
      </c>
    </row>
    <row r="34" spans="1:4" x14ac:dyDescent="0.2">
      <c r="B34" t="s">
        <v>270</v>
      </c>
      <c r="C34" s="21"/>
      <c r="D34" t="s">
        <v>269</v>
      </c>
    </row>
    <row r="35" spans="1:4" x14ac:dyDescent="0.2">
      <c r="B35" t="s">
        <v>267</v>
      </c>
      <c r="C35" s="21"/>
      <c r="D35" t="s">
        <v>268</v>
      </c>
    </row>
    <row r="36" spans="1:4" x14ac:dyDescent="0.2">
      <c r="C36" s="21"/>
    </row>
    <row r="37" spans="1:4" x14ac:dyDescent="0.2">
      <c r="A37" s="21" t="s">
        <v>249</v>
      </c>
      <c r="B37" t="s">
        <v>271</v>
      </c>
      <c r="C37" s="21" t="s">
        <v>249</v>
      </c>
      <c r="D37" t="s">
        <v>272</v>
      </c>
    </row>
    <row r="39" spans="1:4" x14ac:dyDescent="0.2">
      <c r="A39" t="s">
        <v>273</v>
      </c>
      <c r="B39" t="s">
        <v>274</v>
      </c>
      <c r="C39" t="s">
        <v>273</v>
      </c>
      <c r="D39" t="s">
        <v>275</v>
      </c>
    </row>
    <row r="41" spans="1:4" x14ac:dyDescent="0.2">
      <c r="A41" s="21" t="s">
        <v>249</v>
      </c>
      <c r="B41" t="s">
        <v>276</v>
      </c>
      <c r="C41" s="21" t="s">
        <v>249</v>
      </c>
      <c r="D41" t="s">
        <v>277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5"/>
  <sheetViews>
    <sheetView workbookViewId="0">
      <selection sqref="A1:C85"/>
    </sheetView>
  </sheetViews>
  <sheetFormatPr defaultRowHeight="15" x14ac:dyDescent="0.25"/>
  <cols>
    <col min="1" max="1" width="9.140625" style="1"/>
    <col min="2" max="3" width="55.7109375" style="1" customWidth="1"/>
    <col min="4" max="16384" width="9.140625" style="1"/>
  </cols>
  <sheetData>
    <row r="1" spans="1:3" ht="18.75" x14ac:dyDescent="0.3">
      <c r="A1" s="28" t="s">
        <v>217</v>
      </c>
    </row>
    <row r="2" spans="1:3" x14ac:dyDescent="0.25">
      <c r="A2" s="27">
        <v>2</v>
      </c>
      <c r="B2" s="26" t="s">
        <v>28</v>
      </c>
      <c r="C2" s="23" t="s">
        <v>146</v>
      </c>
    </row>
    <row r="3" spans="1:3" x14ac:dyDescent="0.25">
      <c r="A3" s="18">
        <f t="shared" ref="A3:A85" si="0">A2+1</f>
        <v>3</v>
      </c>
      <c r="B3" s="10" t="s">
        <v>145</v>
      </c>
      <c r="C3" s="10" t="s">
        <v>81</v>
      </c>
    </row>
    <row r="4" spans="1:3" x14ac:dyDescent="0.25">
      <c r="A4" s="18">
        <f t="shared" si="0"/>
        <v>4</v>
      </c>
      <c r="B4" s="26" t="s">
        <v>29</v>
      </c>
      <c r="C4" s="23" t="s">
        <v>144</v>
      </c>
    </row>
    <row r="5" spans="1:3" x14ac:dyDescent="0.25">
      <c r="A5" s="18">
        <f t="shared" si="0"/>
        <v>5</v>
      </c>
      <c r="B5" s="26" t="s">
        <v>30</v>
      </c>
      <c r="C5" s="23" t="s">
        <v>147</v>
      </c>
    </row>
    <row r="6" spans="1:3" x14ac:dyDescent="0.25">
      <c r="A6" s="18">
        <f t="shared" si="0"/>
        <v>6</v>
      </c>
      <c r="B6" s="10" t="s">
        <v>33</v>
      </c>
      <c r="C6" s="10" t="s">
        <v>81</v>
      </c>
    </row>
    <row r="7" spans="1:3" x14ac:dyDescent="0.25">
      <c r="A7" s="18">
        <f t="shared" si="0"/>
        <v>7</v>
      </c>
      <c r="B7" s="10"/>
      <c r="C7" s="10"/>
    </row>
    <row r="8" spans="1:3" x14ac:dyDescent="0.25">
      <c r="A8" s="18">
        <f t="shared" si="0"/>
        <v>8</v>
      </c>
      <c r="B8" s="10" t="s">
        <v>175</v>
      </c>
      <c r="C8" s="10" t="s">
        <v>176</v>
      </c>
    </row>
    <row r="9" spans="1:3" x14ac:dyDescent="0.25">
      <c r="A9" s="18">
        <f t="shared" si="0"/>
        <v>9</v>
      </c>
      <c r="B9" s="10" t="s">
        <v>177</v>
      </c>
      <c r="C9" s="10" t="s">
        <v>82</v>
      </c>
    </row>
    <row r="10" spans="1:3" x14ac:dyDescent="0.25">
      <c r="A10" s="18">
        <f t="shared" si="0"/>
        <v>10</v>
      </c>
      <c r="B10" s="10"/>
      <c r="C10" s="10"/>
    </row>
    <row r="11" spans="1:3" x14ac:dyDescent="0.25">
      <c r="A11" s="18">
        <f t="shared" si="0"/>
        <v>11</v>
      </c>
      <c r="B11" s="145" t="s">
        <v>123</v>
      </c>
      <c r="C11" s="10" t="s">
        <v>82</v>
      </c>
    </row>
    <row r="12" spans="1:3" x14ac:dyDescent="0.25">
      <c r="A12" s="18">
        <f>A11+1</f>
        <v>12</v>
      </c>
      <c r="B12" s="37"/>
      <c r="C12" s="10"/>
    </row>
    <row r="13" spans="1:3" ht="60" x14ac:dyDescent="0.25">
      <c r="A13" s="27">
        <f>A12+1</f>
        <v>13</v>
      </c>
      <c r="B13" s="26" t="s">
        <v>174</v>
      </c>
      <c r="C13" s="23" t="s">
        <v>218</v>
      </c>
    </row>
    <row r="14" spans="1:3" x14ac:dyDescent="0.25">
      <c r="A14" s="18">
        <f t="shared" si="0"/>
        <v>14</v>
      </c>
      <c r="B14" s="26" t="s">
        <v>83</v>
      </c>
      <c r="C14" s="23" t="s">
        <v>148</v>
      </c>
    </row>
    <row r="15" spans="1:3" x14ac:dyDescent="0.25">
      <c r="A15" s="18">
        <f t="shared" si="0"/>
        <v>15</v>
      </c>
      <c r="B15" s="10" t="s">
        <v>84</v>
      </c>
      <c r="C15" s="10" t="s">
        <v>86</v>
      </c>
    </row>
    <row r="16" spans="1:3" x14ac:dyDescent="0.25">
      <c r="A16" s="18">
        <f t="shared" si="0"/>
        <v>16</v>
      </c>
      <c r="B16" s="10" t="s">
        <v>85</v>
      </c>
      <c r="C16" s="10" t="s">
        <v>82</v>
      </c>
    </row>
    <row r="17" spans="1:3" x14ac:dyDescent="0.25">
      <c r="A17" s="18">
        <f t="shared" si="0"/>
        <v>17</v>
      </c>
      <c r="B17" s="10"/>
      <c r="C17" s="10"/>
    </row>
    <row r="18" spans="1:3" x14ac:dyDescent="0.25">
      <c r="A18" s="18">
        <f t="shared" si="0"/>
        <v>18</v>
      </c>
      <c r="B18" s="196" t="s">
        <v>31</v>
      </c>
      <c r="C18" s="10" t="s">
        <v>87</v>
      </c>
    </row>
    <row r="19" spans="1:3" x14ac:dyDescent="0.25">
      <c r="A19" s="18">
        <v>19</v>
      </c>
      <c r="B19" s="196"/>
      <c r="C19" s="10"/>
    </row>
    <row r="20" spans="1:3" x14ac:dyDescent="0.25">
      <c r="A20" s="18">
        <f>A19+1</f>
        <v>20</v>
      </c>
      <c r="B20" s="196" t="s">
        <v>128</v>
      </c>
      <c r="C20" s="10" t="s">
        <v>87</v>
      </c>
    </row>
    <row r="21" spans="1:3" x14ac:dyDescent="0.25">
      <c r="A21" s="18">
        <f t="shared" si="0"/>
        <v>21</v>
      </c>
      <c r="B21" s="196" t="s">
        <v>94</v>
      </c>
      <c r="C21" s="10" t="s">
        <v>87</v>
      </c>
    </row>
    <row r="22" spans="1:3" x14ac:dyDescent="0.25">
      <c r="A22" s="18">
        <f t="shared" si="0"/>
        <v>22</v>
      </c>
      <c r="B22" s="10"/>
      <c r="C22" s="10"/>
    </row>
    <row r="23" spans="1:3" s="25" customFormat="1" x14ac:dyDescent="0.2">
      <c r="A23" s="27">
        <f t="shared" si="0"/>
        <v>23</v>
      </c>
      <c r="B23" s="64" t="s">
        <v>98</v>
      </c>
      <c r="C23" s="197"/>
    </row>
    <row r="24" spans="1:3" x14ac:dyDescent="0.25">
      <c r="A24" s="18">
        <f t="shared" si="0"/>
        <v>24</v>
      </c>
      <c r="B24" s="196" t="s">
        <v>99</v>
      </c>
      <c r="C24" s="23" t="s">
        <v>219</v>
      </c>
    </row>
    <row r="25" spans="1:3" x14ac:dyDescent="0.25">
      <c r="A25" s="18">
        <f t="shared" si="0"/>
        <v>25</v>
      </c>
      <c r="B25" s="196" t="s">
        <v>97</v>
      </c>
      <c r="C25" s="23" t="s">
        <v>220</v>
      </c>
    </row>
    <row r="26" spans="1:3" ht="30" x14ac:dyDescent="0.25">
      <c r="A26" s="18">
        <f t="shared" si="0"/>
        <v>26</v>
      </c>
      <c r="B26" s="196" t="s">
        <v>95</v>
      </c>
      <c r="C26" s="23" t="s">
        <v>221</v>
      </c>
    </row>
    <row r="27" spans="1:3" x14ac:dyDescent="0.25">
      <c r="A27" s="18">
        <f t="shared" si="0"/>
        <v>27</v>
      </c>
      <c r="B27" s="196" t="s">
        <v>111</v>
      </c>
      <c r="C27" s="23" t="s">
        <v>178</v>
      </c>
    </row>
    <row r="28" spans="1:3" x14ac:dyDescent="0.25">
      <c r="A28" s="18">
        <f t="shared" si="0"/>
        <v>28</v>
      </c>
      <c r="B28" s="196"/>
      <c r="C28" s="10"/>
    </row>
    <row r="29" spans="1:3" x14ac:dyDescent="0.25">
      <c r="A29" s="18">
        <f t="shared" si="0"/>
        <v>29</v>
      </c>
      <c r="B29" s="196" t="s">
        <v>100</v>
      </c>
      <c r="C29" s="23" t="s">
        <v>222</v>
      </c>
    </row>
    <row r="30" spans="1:3" x14ac:dyDescent="0.25">
      <c r="A30" s="18">
        <f t="shared" si="0"/>
        <v>30</v>
      </c>
      <c r="B30" s="196" t="s">
        <v>101</v>
      </c>
      <c r="C30" s="10" t="s">
        <v>148</v>
      </c>
    </row>
    <row r="31" spans="1:3" x14ac:dyDescent="0.25">
      <c r="A31" s="18">
        <f t="shared" si="0"/>
        <v>31</v>
      </c>
      <c r="B31" s="196" t="s">
        <v>102</v>
      </c>
      <c r="C31" s="10" t="s">
        <v>148</v>
      </c>
    </row>
    <row r="32" spans="1:3" x14ac:dyDescent="0.25">
      <c r="A32" s="18">
        <f t="shared" si="0"/>
        <v>32</v>
      </c>
      <c r="B32" s="196" t="s">
        <v>103</v>
      </c>
      <c r="C32" s="10" t="s">
        <v>148</v>
      </c>
    </row>
    <row r="33" spans="1:3" x14ac:dyDescent="0.25">
      <c r="A33" s="18">
        <f t="shared" si="0"/>
        <v>33</v>
      </c>
      <c r="B33" s="196" t="s">
        <v>104</v>
      </c>
      <c r="C33" s="10" t="s">
        <v>148</v>
      </c>
    </row>
    <row r="34" spans="1:3" x14ac:dyDescent="0.25">
      <c r="A34" s="18">
        <f t="shared" si="0"/>
        <v>34</v>
      </c>
      <c r="B34" s="196"/>
      <c r="C34" s="10"/>
    </row>
    <row r="35" spans="1:3" x14ac:dyDescent="0.25">
      <c r="A35" s="18">
        <f t="shared" si="0"/>
        <v>35</v>
      </c>
      <c r="B35" s="196" t="s">
        <v>171</v>
      </c>
      <c r="C35" s="23" t="s">
        <v>223</v>
      </c>
    </row>
    <row r="36" spans="1:3" x14ac:dyDescent="0.25">
      <c r="A36" s="18">
        <f t="shared" si="0"/>
        <v>36</v>
      </c>
      <c r="B36" s="196" t="s">
        <v>105</v>
      </c>
      <c r="C36" s="10" t="s">
        <v>148</v>
      </c>
    </row>
    <row r="37" spans="1:3" x14ac:dyDescent="0.25">
      <c r="A37" s="18">
        <f t="shared" si="0"/>
        <v>37</v>
      </c>
      <c r="B37" s="196" t="s">
        <v>106</v>
      </c>
      <c r="C37" s="10" t="s">
        <v>148</v>
      </c>
    </row>
    <row r="38" spans="1:3" x14ac:dyDescent="0.25">
      <c r="A38" s="18">
        <f t="shared" si="0"/>
        <v>38</v>
      </c>
      <c r="B38" s="196" t="s">
        <v>107</v>
      </c>
      <c r="C38" s="23" t="s">
        <v>220</v>
      </c>
    </row>
    <row r="39" spans="1:3" ht="30" x14ac:dyDescent="0.25">
      <c r="A39" s="18">
        <f t="shared" si="0"/>
        <v>39</v>
      </c>
      <c r="B39" s="196" t="s">
        <v>108</v>
      </c>
      <c r="C39" s="23" t="s">
        <v>228</v>
      </c>
    </row>
    <row r="40" spans="1:3" x14ac:dyDescent="0.25">
      <c r="A40" s="18">
        <f t="shared" si="0"/>
        <v>40</v>
      </c>
      <c r="B40" s="196"/>
      <c r="C40" s="10"/>
    </row>
    <row r="41" spans="1:3" ht="30" x14ac:dyDescent="0.25">
      <c r="A41" s="18">
        <f t="shared" si="0"/>
        <v>41</v>
      </c>
      <c r="B41" s="196" t="s">
        <v>109</v>
      </c>
      <c r="C41" s="23" t="s">
        <v>224</v>
      </c>
    </row>
    <row r="42" spans="1:3" x14ac:dyDescent="0.25">
      <c r="A42" s="18">
        <f t="shared" si="0"/>
        <v>42</v>
      </c>
      <c r="B42" s="196" t="s">
        <v>110</v>
      </c>
      <c r="C42" s="10" t="s">
        <v>82</v>
      </c>
    </row>
    <row r="43" spans="1:3" ht="30" x14ac:dyDescent="0.25">
      <c r="A43" s="18">
        <f t="shared" si="0"/>
        <v>43</v>
      </c>
      <c r="B43" s="196" t="s">
        <v>112</v>
      </c>
      <c r="C43" s="23" t="s">
        <v>224</v>
      </c>
    </row>
    <row r="44" spans="1:3" x14ac:dyDescent="0.25">
      <c r="A44" s="18">
        <f t="shared" si="0"/>
        <v>44</v>
      </c>
      <c r="B44" s="196"/>
      <c r="C44" s="10"/>
    </row>
    <row r="45" spans="1:3" x14ac:dyDescent="0.25">
      <c r="A45" s="18">
        <f t="shared" si="0"/>
        <v>45</v>
      </c>
      <c r="B45" s="196" t="s">
        <v>113</v>
      </c>
      <c r="C45" s="10" t="s">
        <v>148</v>
      </c>
    </row>
    <row r="46" spans="1:3" x14ac:dyDescent="0.25">
      <c r="A46" s="18">
        <f t="shared" si="0"/>
        <v>46</v>
      </c>
      <c r="B46" s="196" t="s">
        <v>114</v>
      </c>
      <c r="C46" s="10" t="s">
        <v>148</v>
      </c>
    </row>
    <row r="47" spans="1:3" x14ac:dyDescent="0.25">
      <c r="A47" s="18">
        <f t="shared" si="0"/>
        <v>47</v>
      </c>
      <c r="B47" s="196" t="s">
        <v>115</v>
      </c>
      <c r="C47" s="10" t="s">
        <v>148</v>
      </c>
    </row>
    <row r="48" spans="1:3" x14ac:dyDescent="0.25">
      <c r="A48" s="18">
        <f t="shared" si="0"/>
        <v>48</v>
      </c>
      <c r="B48" s="196" t="s">
        <v>116</v>
      </c>
      <c r="C48" s="10" t="s">
        <v>148</v>
      </c>
    </row>
    <row r="49" spans="1:3" x14ac:dyDescent="0.25">
      <c r="A49" s="18">
        <f t="shared" si="0"/>
        <v>49</v>
      </c>
      <c r="B49" s="196"/>
      <c r="C49" s="10"/>
    </row>
    <row r="50" spans="1:3" x14ac:dyDescent="0.25">
      <c r="A50" s="18">
        <f t="shared" si="0"/>
        <v>50</v>
      </c>
      <c r="B50" s="145" t="s">
        <v>129</v>
      </c>
      <c r="C50" s="10" t="s">
        <v>229</v>
      </c>
    </row>
    <row r="51" spans="1:3" x14ac:dyDescent="0.25">
      <c r="A51" s="18">
        <f t="shared" si="0"/>
        <v>51</v>
      </c>
      <c r="B51" s="145" t="s">
        <v>96</v>
      </c>
      <c r="C51" s="10" t="s">
        <v>229</v>
      </c>
    </row>
    <row r="52" spans="1:3" x14ac:dyDescent="0.25">
      <c r="A52" s="18">
        <f t="shared" si="0"/>
        <v>52</v>
      </c>
      <c r="B52" s="145" t="s">
        <v>95</v>
      </c>
      <c r="C52" s="10" t="s">
        <v>229</v>
      </c>
    </row>
    <row r="53" spans="1:3" ht="30" x14ac:dyDescent="0.25">
      <c r="A53" s="18">
        <f t="shared" si="0"/>
        <v>53</v>
      </c>
      <c r="B53" s="145" t="s">
        <v>126</v>
      </c>
      <c r="C53" s="23" t="s">
        <v>224</v>
      </c>
    </row>
    <row r="54" spans="1:3" x14ac:dyDescent="0.25">
      <c r="A54" s="18">
        <f t="shared" si="0"/>
        <v>54</v>
      </c>
      <c r="B54" s="145"/>
      <c r="C54" s="10"/>
    </row>
    <row r="55" spans="1:3" x14ac:dyDescent="0.25">
      <c r="A55" s="18">
        <f t="shared" si="0"/>
        <v>55</v>
      </c>
      <c r="B55" s="145" t="s">
        <v>58</v>
      </c>
      <c r="C55" s="10" t="s">
        <v>179</v>
      </c>
    </row>
    <row r="56" spans="1:3" x14ac:dyDescent="0.25">
      <c r="A56" s="18">
        <f t="shared" si="0"/>
        <v>56</v>
      </c>
      <c r="B56" s="145" t="s">
        <v>101</v>
      </c>
      <c r="C56" s="10" t="s">
        <v>148</v>
      </c>
    </row>
    <row r="57" spans="1:3" x14ac:dyDescent="0.25">
      <c r="A57" s="18">
        <f t="shared" si="0"/>
        <v>57</v>
      </c>
      <c r="B57" s="145" t="s">
        <v>102</v>
      </c>
      <c r="C57" s="10" t="s">
        <v>148</v>
      </c>
    </row>
    <row r="58" spans="1:3" x14ac:dyDescent="0.25">
      <c r="A58" s="18">
        <f t="shared" si="0"/>
        <v>58</v>
      </c>
      <c r="B58" s="145" t="s">
        <v>103</v>
      </c>
      <c r="C58" s="10" t="s">
        <v>82</v>
      </c>
    </row>
    <row r="59" spans="1:3" x14ac:dyDescent="0.25">
      <c r="A59" s="18">
        <f t="shared" si="0"/>
        <v>59</v>
      </c>
      <c r="B59" s="145" t="s">
        <v>104</v>
      </c>
      <c r="C59" s="10" t="s">
        <v>82</v>
      </c>
    </row>
    <row r="60" spans="1:3" x14ac:dyDescent="0.25">
      <c r="A60" s="18">
        <f t="shared" si="0"/>
        <v>60</v>
      </c>
      <c r="B60" s="10"/>
      <c r="C60" s="10"/>
    </row>
    <row r="61" spans="1:3" x14ac:dyDescent="0.25">
      <c r="A61" s="18">
        <f t="shared" si="0"/>
        <v>61</v>
      </c>
      <c r="B61" s="148" t="s">
        <v>93</v>
      </c>
      <c r="C61" s="10"/>
    </row>
    <row r="62" spans="1:3" x14ac:dyDescent="0.25">
      <c r="A62" s="18">
        <f t="shared" si="0"/>
        <v>62</v>
      </c>
      <c r="B62" s="10" t="s">
        <v>1</v>
      </c>
      <c r="C62" s="10" t="s">
        <v>88</v>
      </c>
    </row>
    <row r="63" spans="1:3" x14ac:dyDescent="0.25">
      <c r="A63" s="18">
        <f t="shared" si="0"/>
        <v>63</v>
      </c>
      <c r="B63" s="10" t="s">
        <v>2</v>
      </c>
      <c r="C63" s="10" t="s">
        <v>88</v>
      </c>
    </row>
    <row r="64" spans="1:3" x14ac:dyDescent="0.25">
      <c r="A64" s="18">
        <f t="shared" si="0"/>
        <v>64</v>
      </c>
      <c r="B64" s="10" t="s">
        <v>8</v>
      </c>
      <c r="C64" s="10" t="s">
        <v>88</v>
      </c>
    </row>
    <row r="65" spans="1:3" x14ac:dyDescent="0.25">
      <c r="A65" s="18">
        <f t="shared" si="0"/>
        <v>65</v>
      </c>
      <c r="B65" s="10" t="s">
        <v>10</v>
      </c>
      <c r="C65" s="10" t="s">
        <v>88</v>
      </c>
    </row>
    <row r="66" spans="1:3" x14ac:dyDescent="0.25">
      <c r="A66" s="18">
        <f t="shared" si="0"/>
        <v>66</v>
      </c>
      <c r="B66" s="10" t="s">
        <v>7</v>
      </c>
      <c r="C66" s="10" t="s">
        <v>88</v>
      </c>
    </row>
    <row r="67" spans="1:3" x14ac:dyDescent="0.25">
      <c r="A67" s="18">
        <f t="shared" si="0"/>
        <v>67</v>
      </c>
      <c r="B67" s="10" t="s">
        <v>11</v>
      </c>
      <c r="C67" s="10" t="s">
        <v>88</v>
      </c>
    </row>
    <row r="68" spans="1:3" x14ac:dyDescent="0.25">
      <c r="A68" s="18">
        <f t="shared" si="0"/>
        <v>68</v>
      </c>
      <c r="B68" s="10" t="s">
        <v>9</v>
      </c>
      <c r="C68" s="10" t="s">
        <v>88</v>
      </c>
    </row>
    <row r="69" spans="1:3" x14ac:dyDescent="0.25">
      <c r="A69" s="18">
        <f t="shared" si="0"/>
        <v>69</v>
      </c>
      <c r="B69" s="10"/>
      <c r="C69" s="10"/>
    </row>
    <row r="70" spans="1:3" x14ac:dyDescent="0.25">
      <c r="A70" s="18">
        <f t="shared" si="0"/>
        <v>70</v>
      </c>
      <c r="B70" s="10" t="s">
        <v>4</v>
      </c>
      <c r="C70" s="10" t="s">
        <v>230</v>
      </c>
    </row>
    <row r="71" spans="1:3" ht="30" x14ac:dyDescent="0.25">
      <c r="A71" s="18">
        <f t="shared" si="0"/>
        <v>71</v>
      </c>
      <c r="B71" s="10" t="s">
        <v>3</v>
      </c>
      <c r="C71" s="24" t="s">
        <v>231</v>
      </c>
    </row>
    <row r="72" spans="1:3" x14ac:dyDescent="0.25">
      <c r="A72" s="18">
        <f t="shared" si="0"/>
        <v>72</v>
      </c>
      <c r="B72" s="10" t="s">
        <v>5</v>
      </c>
      <c r="C72" s="10" t="s">
        <v>82</v>
      </c>
    </row>
    <row r="73" spans="1:3" x14ac:dyDescent="0.25">
      <c r="A73" s="18">
        <f t="shared" si="0"/>
        <v>73</v>
      </c>
      <c r="B73" s="10"/>
      <c r="C73" s="10"/>
    </row>
    <row r="74" spans="1:3" x14ac:dyDescent="0.25">
      <c r="A74" s="18">
        <f t="shared" si="0"/>
        <v>74</v>
      </c>
      <c r="B74" s="10"/>
      <c r="C74" s="10"/>
    </row>
    <row r="75" spans="1:3" ht="30" x14ac:dyDescent="0.25">
      <c r="A75" s="27">
        <f t="shared" si="0"/>
        <v>75</v>
      </c>
      <c r="B75" s="26" t="s">
        <v>38</v>
      </c>
      <c r="C75" s="23" t="s">
        <v>232</v>
      </c>
    </row>
    <row r="76" spans="1:3" ht="30" x14ac:dyDescent="0.25">
      <c r="A76" s="27">
        <f t="shared" si="0"/>
        <v>76</v>
      </c>
      <c r="B76" s="26" t="s">
        <v>39</v>
      </c>
      <c r="C76" s="23" t="s">
        <v>233</v>
      </c>
    </row>
    <row r="77" spans="1:3" x14ac:dyDescent="0.25">
      <c r="A77" s="27">
        <f t="shared" si="0"/>
        <v>77</v>
      </c>
      <c r="B77" s="26" t="s">
        <v>47</v>
      </c>
      <c r="C77" s="23" t="s">
        <v>149</v>
      </c>
    </row>
    <row r="78" spans="1:3" x14ac:dyDescent="0.25">
      <c r="A78" s="18">
        <f t="shared" si="0"/>
        <v>78</v>
      </c>
      <c r="B78" s="10"/>
      <c r="C78" s="10"/>
    </row>
    <row r="79" spans="1:3" x14ac:dyDescent="0.25">
      <c r="A79" s="18">
        <f t="shared" si="0"/>
        <v>79</v>
      </c>
      <c r="B79" s="10"/>
      <c r="C79" s="10"/>
    </row>
    <row r="80" spans="1:3" x14ac:dyDescent="0.25">
      <c r="A80" s="18">
        <f t="shared" si="0"/>
        <v>80</v>
      </c>
      <c r="B80" s="10" t="s">
        <v>64</v>
      </c>
      <c r="C80" s="10"/>
    </row>
    <row r="81" spans="1:3" x14ac:dyDescent="0.25">
      <c r="A81" s="18">
        <f t="shared" si="0"/>
        <v>81</v>
      </c>
      <c r="B81" s="10" t="s">
        <v>13</v>
      </c>
      <c r="C81" s="10" t="s">
        <v>89</v>
      </c>
    </row>
    <row r="82" spans="1:3" x14ac:dyDescent="0.25">
      <c r="A82" s="18">
        <f t="shared" si="0"/>
        <v>82</v>
      </c>
      <c r="B82" s="10" t="s">
        <v>14</v>
      </c>
      <c r="C82" s="10" t="s">
        <v>89</v>
      </c>
    </row>
    <row r="83" spans="1:3" x14ac:dyDescent="0.25">
      <c r="A83" s="18">
        <f t="shared" si="0"/>
        <v>83</v>
      </c>
      <c r="B83" s="10" t="s">
        <v>12</v>
      </c>
      <c r="C83" s="10" t="s">
        <v>89</v>
      </c>
    </row>
    <row r="84" spans="1:3" x14ac:dyDescent="0.25">
      <c r="A84" s="18">
        <f t="shared" si="0"/>
        <v>84</v>
      </c>
      <c r="B84" s="10"/>
      <c r="C84" s="10"/>
    </row>
    <row r="85" spans="1:3" x14ac:dyDescent="0.25">
      <c r="A85" s="18">
        <f t="shared" si="0"/>
        <v>85</v>
      </c>
      <c r="B85" s="10"/>
      <c r="C85" s="10" t="s">
        <v>90</v>
      </c>
    </row>
  </sheetData>
  <phoneticPr fontId="3" type="noConversion"/>
  <printOptions horizontalCentered="1" verticalCentered="1"/>
  <pageMargins left="0.75" right="0.75" top="1" bottom="1" header="0.5" footer="0.5"/>
  <pageSetup scale="80" orientation="landscape" horizontalDpi="4294967293" r:id="rId1"/>
  <headerFooter alignWithMargins="0"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0"/>
  <sheetViews>
    <sheetView tabSelected="1" zoomScaleNormal="100" workbookViewId="0"/>
  </sheetViews>
  <sheetFormatPr defaultRowHeight="15" x14ac:dyDescent="0.25"/>
  <cols>
    <col min="1" max="1" width="9.140625" style="2"/>
    <col min="2" max="2" width="12.7109375" style="66" customWidth="1"/>
    <col min="3" max="5" width="15.7109375" style="66" customWidth="1"/>
    <col min="6" max="8" width="10.7109375" style="66" customWidth="1"/>
    <col min="9" max="16384" width="9.140625" style="2"/>
  </cols>
  <sheetData>
    <row r="1" spans="2:8" x14ac:dyDescent="0.25">
      <c r="B1" s="86" t="s">
        <v>199</v>
      </c>
      <c r="C1" s="73"/>
      <c r="D1" s="73"/>
      <c r="E1" s="73"/>
      <c r="F1" s="73"/>
      <c r="G1" s="73"/>
      <c r="H1" s="87"/>
    </row>
    <row r="2" spans="2:8" ht="80.099999999999994" customHeight="1" x14ac:dyDescent="0.25">
      <c r="B2" s="81" t="s">
        <v>48</v>
      </c>
      <c r="C2" s="82" t="s">
        <v>197</v>
      </c>
      <c r="D2" s="82" t="s">
        <v>212</v>
      </c>
      <c r="E2" s="82" t="s">
        <v>198</v>
      </c>
      <c r="F2" s="231" t="s">
        <v>200</v>
      </c>
      <c r="G2" s="232"/>
      <c r="H2" s="233"/>
    </row>
    <row r="3" spans="2:8" x14ac:dyDescent="0.25">
      <c r="B3" s="234"/>
      <c r="C3" s="235"/>
      <c r="D3" s="235"/>
      <c r="E3" s="236"/>
      <c r="F3" s="83" t="s">
        <v>61</v>
      </c>
      <c r="G3" s="84" t="s">
        <v>62</v>
      </c>
      <c r="H3" s="85" t="s">
        <v>63</v>
      </c>
    </row>
    <row r="4" spans="2:8" ht="15.75" x14ac:dyDescent="0.25">
      <c r="B4" s="113" t="s">
        <v>15</v>
      </c>
      <c r="C4" s="111"/>
      <c r="D4" s="111"/>
      <c r="E4" s="111"/>
      <c r="F4" s="111"/>
      <c r="G4" s="111"/>
      <c r="H4" s="112"/>
    </row>
    <row r="5" spans="2:8" x14ac:dyDescent="0.25">
      <c r="B5" s="89"/>
      <c r="C5" s="90" t="s">
        <v>201</v>
      </c>
      <c r="D5" s="90" t="s">
        <v>202</v>
      </c>
      <c r="E5" s="91" t="s">
        <v>203</v>
      </c>
      <c r="F5" s="90"/>
      <c r="G5" s="90"/>
      <c r="H5" s="91"/>
    </row>
    <row r="6" spans="2:8" x14ac:dyDescent="0.25">
      <c r="B6" s="89" t="str">
        <f>BELKNAP!F81</f>
        <v xml:space="preserve">Owner </v>
      </c>
      <c r="C6" s="92">
        <f>BELKNAP!G81</f>
        <v>21033.47911118776</v>
      </c>
      <c r="D6" s="92">
        <f>BELKNAP!H81</f>
        <v>20881.883232361557</v>
      </c>
      <c r="E6" s="93">
        <f>BELKNAP!I81</f>
        <v>20730.287353535354</v>
      </c>
      <c r="F6" s="89"/>
      <c r="G6" s="72"/>
      <c r="H6" s="94"/>
    </row>
    <row r="7" spans="2:8" x14ac:dyDescent="0.25">
      <c r="B7" s="89" t="str">
        <f>BELKNAP!F82</f>
        <v xml:space="preserve">Renter </v>
      </c>
      <c r="C7" s="92">
        <f>BELKNAP!G82</f>
        <v>6924.5128191090225</v>
      </c>
      <c r="D7" s="92">
        <f>BELKNAP!H82</f>
        <v>6867.0149095545112</v>
      </c>
      <c r="E7" s="93">
        <f>BELKNAP!I82</f>
        <v>6809.5169999999998</v>
      </c>
      <c r="F7" s="89"/>
      <c r="G7" s="72"/>
      <c r="H7" s="94"/>
    </row>
    <row r="8" spans="2:8" x14ac:dyDescent="0.25">
      <c r="B8" s="89" t="str">
        <f>BELKNAP!F83</f>
        <v>Total</v>
      </c>
      <c r="C8" s="92">
        <f>BELKNAP!G83</f>
        <v>27957.991930296783</v>
      </c>
      <c r="D8" s="92">
        <f>BELKNAP!H83</f>
        <v>27748.89814191607</v>
      </c>
      <c r="E8" s="93">
        <f>BELKNAP!I83</f>
        <v>27539.804353535354</v>
      </c>
      <c r="F8" s="89"/>
      <c r="G8" s="72"/>
      <c r="H8" s="94"/>
    </row>
    <row r="9" spans="2:8" x14ac:dyDescent="0.25">
      <c r="B9" s="95" t="s">
        <v>204</v>
      </c>
      <c r="C9" s="96"/>
      <c r="D9" s="97"/>
      <c r="E9" s="98"/>
      <c r="F9" s="99"/>
      <c r="G9" s="97"/>
      <c r="H9" s="100"/>
    </row>
    <row r="10" spans="2:8" x14ac:dyDescent="0.25">
      <c r="B10" s="89" t="str">
        <f>BELKNAP!F86</f>
        <v xml:space="preserve">Owner </v>
      </c>
      <c r="C10" s="92">
        <f>BELKNAP!G86</f>
        <v>1845.4791111877603</v>
      </c>
      <c r="D10" s="92">
        <f>BELKNAP!H86</f>
        <v>1693.883232361557</v>
      </c>
      <c r="E10" s="93">
        <f>BELKNAP!I86</f>
        <v>1542.2873535353538</v>
      </c>
      <c r="F10" s="88">
        <f t="shared" ref="F10:H12" si="0">C10/10</f>
        <v>184.54791111877603</v>
      </c>
      <c r="G10" s="73">
        <f t="shared" si="0"/>
        <v>169.38832323615571</v>
      </c>
      <c r="H10" s="87">
        <f t="shared" si="0"/>
        <v>154.22873535353537</v>
      </c>
    </row>
    <row r="11" spans="2:8" x14ac:dyDescent="0.25">
      <c r="B11" s="89" t="str">
        <f>BELKNAP!F87</f>
        <v xml:space="preserve">Renter </v>
      </c>
      <c r="C11" s="92">
        <f>BELKNAP!G87</f>
        <v>-124.48718089097747</v>
      </c>
      <c r="D11" s="92">
        <f>BELKNAP!H87</f>
        <v>-181.98509044548882</v>
      </c>
      <c r="E11" s="93">
        <f>BELKNAP!I87</f>
        <v>-239.48300000000017</v>
      </c>
      <c r="F11" s="89">
        <f t="shared" si="0"/>
        <v>-12.448718089097747</v>
      </c>
      <c r="G11" s="72">
        <f t="shared" si="0"/>
        <v>-18.198509044548882</v>
      </c>
      <c r="H11" s="94">
        <f t="shared" si="0"/>
        <v>-23.948300000000017</v>
      </c>
    </row>
    <row r="12" spans="2:8" x14ac:dyDescent="0.25">
      <c r="B12" s="89" t="str">
        <f>BELKNAP!F88</f>
        <v>Total</v>
      </c>
      <c r="C12" s="92">
        <f>BELKNAP!G88</f>
        <v>1720.9919302967828</v>
      </c>
      <c r="D12" s="92">
        <f>BELKNAP!H88</f>
        <v>1511.89814191607</v>
      </c>
      <c r="E12" s="93">
        <f>BELKNAP!I88</f>
        <v>1302.8043535353536</v>
      </c>
      <c r="F12" s="101">
        <f t="shared" si="0"/>
        <v>172.09919302967828</v>
      </c>
      <c r="G12" s="102">
        <f t="shared" si="0"/>
        <v>151.18981419160701</v>
      </c>
      <c r="H12" s="107">
        <f t="shared" si="0"/>
        <v>130.28043535353535</v>
      </c>
    </row>
    <row r="13" spans="2:8" x14ac:dyDescent="0.25">
      <c r="B13" s="103" t="s">
        <v>65</v>
      </c>
      <c r="C13" s="96"/>
      <c r="D13" s="104"/>
      <c r="E13" s="98"/>
      <c r="F13" s="99"/>
      <c r="G13" s="97"/>
      <c r="H13" s="100"/>
    </row>
    <row r="14" spans="2:8" x14ac:dyDescent="0.25">
      <c r="B14" s="89" t="str">
        <f>BELKNAP!F90</f>
        <v xml:space="preserve">Owner </v>
      </c>
      <c r="C14" s="92">
        <f>BELKNAP!G90</f>
        <v>1225.0863635416747</v>
      </c>
      <c r="D14" s="92">
        <f>BELKNAP!H90</f>
        <v>1124.4523098733193</v>
      </c>
      <c r="E14" s="93">
        <f>BELKNAP!I90</f>
        <v>1023.8182562049641</v>
      </c>
      <c r="F14" s="88">
        <f t="shared" ref="F14:H16" si="1">C14/10</f>
        <v>122.50863635416746</v>
      </c>
      <c r="G14" s="73">
        <f t="shared" si="1"/>
        <v>112.44523098733194</v>
      </c>
      <c r="H14" s="87">
        <f t="shared" si="1"/>
        <v>102.38182562049641</v>
      </c>
    </row>
    <row r="15" spans="2:8" x14ac:dyDescent="0.25">
      <c r="B15" s="89" t="str">
        <f>BELKNAP!F91</f>
        <v xml:space="preserve">Renter </v>
      </c>
      <c r="C15" s="92">
        <f>BELKNAP!G91</f>
        <v>-82.638457851266367</v>
      </c>
      <c r="D15" s="92">
        <f>BELKNAP!H91</f>
        <v>-120.8073563775948</v>
      </c>
      <c r="E15" s="93">
        <f>BELKNAP!I91</f>
        <v>-158.97625490392326</v>
      </c>
      <c r="F15" s="89">
        <f t="shared" si="1"/>
        <v>-8.2638457851266374</v>
      </c>
      <c r="G15" s="72">
        <f t="shared" si="1"/>
        <v>-12.08073563775948</v>
      </c>
      <c r="H15" s="94">
        <f t="shared" si="1"/>
        <v>-15.897625490392326</v>
      </c>
    </row>
    <row r="16" spans="2:8" x14ac:dyDescent="0.25">
      <c r="B16" s="101" t="str">
        <f>BELKNAP!F92</f>
        <v>Total</v>
      </c>
      <c r="C16" s="105">
        <f>BELKNAP!G92</f>
        <v>1142.4479056904083</v>
      </c>
      <c r="D16" s="105">
        <f>BELKNAP!H92</f>
        <v>1003.6449534957245</v>
      </c>
      <c r="E16" s="106">
        <f>BELKNAP!I92</f>
        <v>864.8420013010408</v>
      </c>
      <c r="F16" s="101">
        <f t="shared" si="1"/>
        <v>114.24479056904083</v>
      </c>
      <c r="G16" s="102">
        <f t="shared" si="1"/>
        <v>100.36449534957245</v>
      </c>
      <c r="H16" s="107">
        <f t="shared" si="1"/>
        <v>86.484200130104085</v>
      </c>
    </row>
    <row r="17" spans="2:8" ht="15.75" x14ac:dyDescent="0.25">
      <c r="B17" s="113" t="s">
        <v>16</v>
      </c>
      <c r="C17" s="111"/>
      <c r="D17" s="111"/>
      <c r="E17" s="111"/>
      <c r="F17" s="111"/>
      <c r="G17" s="111"/>
      <c r="H17" s="112"/>
    </row>
    <row r="18" spans="2:8" x14ac:dyDescent="0.25">
      <c r="B18" s="89"/>
      <c r="C18" s="90" t="s">
        <v>201</v>
      </c>
      <c r="D18" s="90" t="s">
        <v>202</v>
      </c>
      <c r="E18" s="91" t="s">
        <v>203</v>
      </c>
      <c r="F18" s="89"/>
      <c r="G18" s="72"/>
      <c r="H18" s="94"/>
    </row>
    <row r="19" spans="2:8" x14ac:dyDescent="0.25">
      <c r="B19" s="89" t="str">
        <f>CARROLL!F81</f>
        <v xml:space="preserve">Owner </v>
      </c>
      <c r="C19" s="72">
        <f>CARROLL!G81</f>
        <v>19816.176505882311</v>
      </c>
      <c r="D19" s="72">
        <f>CARROLL!H81</f>
        <v>19480.825833606148</v>
      </c>
      <c r="E19" s="94">
        <f>CARROLL!I81</f>
        <v>19145.475161329989</v>
      </c>
      <c r="F19" s="89"/>
      <c r="G19" s="72"/>
      <c r="H19" s="94"/>
    </row>
    <row r="20" spans="2:8" x14ac:dyDescent="0.25">
      <c r="B20" s="89" t="str">
        <f>CARROLL!F82</f>
        <v xml:space="preserve">Renter </v>
      </c>
      <c r="C20" s="72">
        <f>CARROLL!G82</f>
        <v>4884.9301923724888</v>
      </c>
      <c r="D20" s="72">
        <f>CARROLL!H82</f>
        <v>4776.5712994588039</v>
      </c>
      <c r="E20" s="94">
        <f>CARROLL!I82</f>
        <v>4668.2124065451162</v>
      </c>
      <c r="F20" s="89"/>
      <c r="G20" s="72"/>
      <c r="H20" s="94"/>
    </row>
    <row r="21" spans="2:8" x14ac:dyDescent="0.25">
      <c r="B21" s="101" t="str">
        <f>CARROLL!F83</f>
        <v>Total</v>
      </c>
      <c r="C21" s="102">
        <f>CARROLL!G83</f>
        <v>24701.1066982548</v>
      </c>
      <c r="D21" s="102">
        <f>CARROLL!H83</f>
        <v>24257.397133064951</v>
      </c>
      <c r="E21" s="107">
        <f>CARROLL!I83</f>
        <v>23813.687567875106</v>
      </c>
      <c r="F21" s="89"/>
      <c r="G21" s="72"/>
      <c r="H21" s="94"/>
    </row>
    <row r="22" spans="2:8" x14ac:dyDescent="0.25">
      <c r="B22" s="95" t="s">
        <v>204</v>
      </c>
      <c r="C22" s="108"/>
      <c r="D22" s="108"/>
      <c r="E22" s="108"/>
      <c r="F22" s="108"/>
      <c r="G22" s="108"/>
      <c r="H22" s="109"/>
    </row>
    <row r="23" spans="2:8" x14ac:dyDescent="0.25">
      <c r="B23" s="89" t="str">
        <f>CARROLL!F86</f>
        <v xml:space="preserve">Owner </v>
      </c>
      <c r="C23" s="72">
        <f>CARROLL!G86</f>
        <v>2552.1765058823112</v>
      </c>
      <c r="D23" s="72">
        <f>CARROLL!H86</f>
        <v>2216.8258336061481</v>
      </c>
      <c r="E23" s="94">
        <f>CARROLL!I86</f>
        <v>1881.4751613299886</v>
      </c>
      <c r="F23" s="88">
        <f t="shared" ref="F23:H25" si="2">C23/10</f>
        <v>255.21765058823112</v>
      </c>
      <c r="G23" s="73">
        <f t="shared" si="2"/>
        <v>221.68258336061481</v>
      </c>
      <c r="H23" s="87">
        <f t="shared" si="2"/>
        <v>188.14751613299887</v>
      </c>
    </row>
    <row r="24" spans="2:8" x14ac:dyDescent="0.25">
      <c r="B24" s="89" t="str">
        <f>CARROLL!F87</f>
        <v xml:space="preserve">Renter </v>
      </c>
      <c r="C24" s="72">
        <f>CARROLL!G87</f>
        <v>-81.069807627511182</v>
      </c>
      <c r="D24" s="72">
        <f>CARROLL!H87</f>
        <v>-189.42870054119612</v>
      </c>
      <c r="E24" s="94">
        <f>CARROLL!I87</f>
        <v>-297.78759345488379</v>
      </c>
      <c r="F24" s="89">
        <f t="shared" si="2"/>
        <v>-8.1069807627511175</v>
      </c>
      <c r="G24" s="72">
        <f t="shared" si="2"/>
        <v>-18.942870054119613</v>
      </c>
      <c r="H24" s="94">
        <f t="shared" si="2"/>
        <v>-29.778759345488378</v>
      </c>
    </row>
    <row r="25" spans="2:8" x14ac:dyDescent="0.25">
      <c r="B25" s="89" t="str">
        <f>CARROLL!F88</f>
        <v>Total</v>
      </c>
      <c r="C25" s="72">
        <f>CARROLL!G88</f>
        <v>2471.1066982548</v>
      </c>
      <c r="D25" s="72">
        <f>CARROLL!H88</f>
        <v>2027.397133064951</v>
      </c>
      <c r="E25" s="94">
        <f>CARROLL!I88</f>
        <v>1583.6875678751057</v>
      </c>
      <c r="F25" s="101">
        <f t="shared" si="2"/>
        <v>247.11066982547999</v>
      </c>
      <c r="G25" s="102">
        <f t="shared" si="2"/>
        <v>202.7397133064951</v>
      </c>
      <c r="H25" s="107">
        <f t="shared" si="2"/>
        <v>158.36875678751056</v>
      </c>
    </row>
    <row r="26" spans="2:8" x14ac:dyDescent="0.25">
      <c r="B26" s="103" t="s">
        <v>65</v>
      </c>
      <c r="C26" s="110"/>
      <c r="D26" s="110"/>
      <c r="E26" s="110"/>
      <c r="F26" s="99"/>
      <c r="G26" s="97"/>
      <c r="H26" s="100"/>
    </row>
    <row r="27" spans="2:8" x14ac:dyDescent="0.25">
      <c r="B27" s="89" t="str">
        <f>CARROLL!F90</f>
        <v xml:space="preserve">Owner </v>
      </c>
      <c r="C27" s="72">
        <f>CARROLL!G90</f>
        <v>1951.2789741910231</v>
      </c>
      <c r="D27" s="72">
        <f>CARROLL!H90</f>
        <v>1694.8849848704911</v>
      </c>
      <c r="E27" s="93">
        <f>CARROLL!I90</f>
        <v>1438.4909955499622</v>
      </c>
      <c r="F27" s="88">
        <f t="shared" ref="F27:H29" si="3">C27/10</f>
        <v>195.12789741910231</v>
      </c>
      <c r="G27" s="73">
        <f t="shared" si="3"/>
        <v>169.4884984870491</v>
      </c>
      <c r="H27" s="87">
        <f t="shared" si="3"/>
        <v>143.84909955499623</v>
      </c>
    </row>
    <row r="28" spans="2:8" x14ac:dyDescent="0.25">
      <c r="B28" s="89" t="str">
        <f>CARROLL!F91</f>
        <v xml:space="preserve">Renter </v>
      </c>
      <c r="C28" s="72">
        <f>CARROLL!G91</f>
        <v>-61.982316152771688</v>
      </c>
      <c r="D28" s="72">
        <f>CARROLL!H91</f>
        <v>-144.82863533240609</v>
      </c>
      <c r="E28" s="93">
        <f>CARROLL!I91</f>
        <v>-227.6749545120426</v>
      </c>
      <c r="F28" s="89">
        <f t="shared" si="3"/>
        <v>-6.1982316152771686</v>
      </c>
      <c r="G28" s="72">
        <f t="shared" si="3"/>
        <v>-14.482863533240609</v>
      </c>
      <c r="H28" s="94">
        <f t="shared" si="3"/>
        <v>-22.767495451204262</v>
      </c>
    </row>
    <row r="29" spans="2:8" x14ac:dyDescent="0.25">
      <c r="B29" s="89" t="str">
        <f>CARROLL!F92</f>
        <v>Total</v>
      </c>
      <c r="C29" s="72">
        <f>CARROLL!G92</f>
        <v>1889.2966580382513</v>
      </c>
      <c r="D29" s="72">
        <f>CARROLL!H92</f>
        <v>1550.056349538085</v>
      </c>
      <c r="E29" s="93">
        <f>CARROLL!I92</f>
        <v>1210.8160410379196</v>
      </c>
      <c r="F29" s="101">
        <f t="shared" si="3"/>
        <v>188.92966580382512</v>
      </c>
      <c r="G29" s="102">
        <f t="shared" si="3"/>
        <v>155.00563495380851</v>
      </c>
      <c r="H29" s="107">
        <f t="shared" si="3"/>
        <v>121.08160410379196</v>
      </c>
    </row>
    <row r="30" spans="2:8" ht="15.75" x14ac:dyDescent="0.25">
      <c r="B30" s="113" t="s">
        <v>17</v>
      </c>
      <c r="C30" s="111"/>
      <c r="D30" s="111"/>
      <c r="E30" s="111"/>
      <c r="F30" s="111"/>
      <c r="G30" s="111"/>
      <c r="H30" s="112"/>
    </row>
    <row r="31" spans="2:8" x14ac:dyDescent="0.25">
      <c r="B31" s="89"/>
      <c r="C31" s="90" t="s">
        <v>201</v>
      </c>
      <c r="D31" s="90" t="s">
        <v>202</v>
      </c>
      <c r="E31" s="91" t="s">
        <v>203</v>
      </c>
      <c r="F31" s="89"/>
      <c r="G31" s="72"/>
      <c r="H31" s="94"/>
    </row>
    <row r="32" spans="2:8" x14ac:dyDescent="0.25">
      <c r="B32" s="89" t="str">
        <f>CHESHIRE!F81</f>
        <v xml:space="preserve">Owner </v>
      </c>
      <c r="C32" s="92">
        <f>CHESHIRE!G81</f>
        <v>23724.353766662356</v>
      </c>
      <c r="D32" s="92">
        <f>CHESHIRE!H81</f>
        <v>23248.559658964772</v>
      </c>
      <c r="E32" s="93">
        <f>CHESHIRE!I81</f>
        <v>22772.765551267192</v>
      </c>
      <c r="F32" s="89"/>
      <c r="G32" s="72"/>
      <c r="H32" s="94"/>
    </row>
    <row r="33" spans="2:8" x14ac:dyDescent="0.25">
      <c r="B33" s="89" t="str">
        <f>CHESHIRE!F82</f>
        <v xml:space="preserve">Renter </v>
      </c>
      <c r="C33" s="92">
        <f>CHESHIRE!G82</f>
        <v>10506.995806470299</v>
      </c>
      <c r="D33" s="92">
        <f>CHESHIRE!H82</f>
        <v>10259.894207529673</v>
      </c>
      <c r="E33" s="93">
        <f>CHESHIRE!I82</f>
        <v>10012.792608589043</v>
      </c>
      <c r="F33" s="89"/>
      <c r="G33" s="72"/>
      <c r="H33" s="94"/>
    </row>
    <row r="34" spans="2:8" x14ac:dyDescent="0.25">
      <c r="B34" s="89" t="str">
        <f>CHESHIRE!F83</f>
        <v>Total</v>
      </c>
      <c r="C34" s="92">
        <f>CHESHIRE!G83</f>
        <v>34231.349573132655</v>
      </c>
      <c r="D34" s="92">
        <f>CHESHIRE!H83</f>
        <v>33508.453866494441</v>
      </c>
      <c r="E34" s="93">
        <f>CHESHIRE!I83</f>
        <v>32785.558159856235</v>
      </c>
      <c r="F34" s="89"/>
      <c r="G34" s="72"/>
      <c r="H34" s="94"/>
    </row>
    <row r="35" spans="2:8" x14ac:dyDescent="0.25">
      <c r="B35" s="95" t="s">
        <v>204</v>
      </c>
      <c r="C35" s="97"/>
      <c r="D35" s="97"/>
      <c r="E35" s="100"/>
      <c r="F35" s="99"/>
      <c r="G35" s="97"/>
      <c r="H35" s="100"/>
    </row>
    <row r="36" spans="2:8" x14ac:dyDescent="0.25">
      <c r="B36" s="89" t="str">
        <f>CHESHIRE!F86</f>
        <v xml:space="preserve">Owner </v>
      </c>
      <c r="C36" s="92">
        <f>CHESHIRE!G86</f>
        <v>2166.3537666623561</v>
      </c>
      <c r="D36" s="92">
        <f>CHESHIRE!H86</f>
        <v>1690.5596589647721</v>
      </c>
      <c r="E36" s="93">
        <f>CHESHIRE!I86</f>
        <v>1214.7655512671918</v>
      </c>
      <c r="F36" s="88">
        <f t="shared" ref="F36:H38" si="4">C36/10</f>
        <v>216.6353766662356</v>
      </c>
      <c r="G36" s="73">
        <f t="shared" si="4"/>
        <v>169.0559658964772</v>
      </c>
      <c r="H36" s="87">
        <f t="shared" si="4"/>
        <v>121.47655512671918</v>
      </c>
    </row>
    <row r="37" spans="2:8" x14ac:dyDescent="0.25">
      <c r="B37" s="89" t="str">
        <f>CHESHIRE!F87</f>
        <v xml:space="preserve">Renter </v>
      </c>
      <c r="C37" s="92">
        <f>CHESHIRE!G87</f>
        <v>747.9958064702987</v>
      </c>
      <c r="D37" s="92">
        <f>CHESHIRE!H87</f>
        <v>500.89420752967271</v>
      </c>
      <c r="E37" s="93">
        <f>CHESHIRE!I87</f>
        <v>253.79260858904308</v>
      </c>
      <c r="F37" s="89">
        <f t="shared" si="4"/>
        <v>74.79958064702987</v>
      </c>
      <c r="G37" s="72">
        <f t="shared" si="4"/>
        <v>50.089420752967271</v>
      </c>
      <c r="H37" s="94">
        <f t="shared" si="4"/>
        <v>25.37926085890431</v>
      </c>
    </row>
    <row r="38" spans="2:8" x14ac:dyDescent="0.25">
      <c r="B38" s="89" t="str">
        <f>CHESHIRE!F88</f>
        <v>Total</v>
      </c>
      <c r="C38" s="92">
        <f>CHESHIRE!G88</f>
        <v>2914.3495731326548</v>
      </c>
      <c r="D38" s="92">
        <f>CHESHIRE!H88</f>
        <v>2191.4538664944412</v>
      </c>
      <c r="E38" s="93">
        <f>CHESHIRE!I88</f>
        <v>1468.5581598562349</v>
      </c>
      <c r="F38" s="101">
        <f t="shared" si="4"/>
        <v>291.4349573132655</v>
      </c>
      <c r="G38" s="102">
        <f t="shared" si="4"/>
        <v>219.14538664944411</v>
      </c>
      <c r="H38" s="107">
        <f t="shared" si="4"/>
        <v>146.85581598562348</v>
      </c>
    </row>
    <row r="39" spans="2:8" x14ac:dyDescent="0.25">
      <c r="B39" s="103" t="s">
        <v>65</v>
      </c>
      <c r="C39" s="97"/>
      <c r="D39" s="97"/>
      <c r="E39" s="100"/>
      <c r="F39" s="99"/>
      <c r="G39" s="97"/>
      <c r="H39" s="100"/>
    </row>
    <row r="40" spans="2:8" x14ac:dyDescent="0.25">
      <c r="B40" s="89" t="str">
        <f>CHESHIRE!F90</f>
        <v xml:space="preserve">Owner </v>
      </c>
      <c r="C40" s="72">
        <f>CHESHIRE!G90</f>
        <v>1653.3840128751335</v>
      </c>
      <c r="D40" s="72">
        <f>CHESHIRE!H90</f>
        <v>1290.2529383510603</v>
      </c>
      <c r="E40" s="93">
        <f>CHESHIRE!I90</f>
        <v>927.12186382698985</v>
      </c>
      <c r="F40" s="88">
        <f t="shared" ref="F40:H42" si="5">C40/10</f>
        <v>165.33840128751336</v>
      </c>
      <c r="G40" s="73">
        <f t="shared" si="5"/>
        <v>129.02529383510603</v>
      </c>
      <c r="H40" s="87">
        <f t="shared" si="5"/>
        <v>92.712186382698988</v>
      </c>
    </row>
    <row r="41" spans="2:8" x14ac:dyDescent="0.25">
      <c r="B41" s="89" t="str">
        <f>CHESHIRE!F91</f>
        <v xml:space="preserve">Renter </v>
      </c>
      <c r="C41" s="72">
        <f>CHESHIRE!G91</f>
        <v>570.87827812214744</v>
      </c>
      <c r="D41" s="72">
        <f>CHESHIRE!H91</f>
        <v>382.28773509474428</v>
      </c>
      <c r="E41" s="93">
        <f>CHESHIRE!I91</f>
        <v>193.69719206733831</v>
      </c>
      <c r="F41" s="89">
        <f t="shared" si="5"/>
        <v>57.087827812214741</v>
      </c>
      <c r="G41" s="72">
        <f t="shared" si="5"/>
        <v>38.228773509474429</v>
      </c>
      <c r="H41" s="94">
        <f t="shared" si="5"/>
        <v>19.36971920673383</v>
      </c>
    </row>
    <row r="42" spans="2:8" x14ac:dyDescent="0.25">
      <c r="B42" s="101" t="str">
        <f>CHESHIRE!F92</f>
        <v>Total</v>
      </c>
      <c r="C42" s="102">
        <f>CHESHIRE!G92</f>
        <v>2224.2622909972811</v>
      </c>
      <c r="D42" s="102">
        <f>CHESHIRE!H92</f>
        <v>1672.5406734458045</v>
      </c>
      <c r="E42" s="106">
        <f>CHESHIRE!I92</f>
        <v>1120.8190558943281</v>
      </c>
      <c r="F42" s="101">
        <f t="shared" si="5"/>
        <v>222.42622909972812</v>
      </c>
      <c r="G42" s="102">
        <f t="shared" si="5"/>
        <v>167.25406734458045</v>
      </c>
      <c r="H42" s="107">
        <f t="shared" si="5"/>
        <v>112.08190558943281</v>
      </c>
    </row>
    <row r="43" spans="2:8" ht="15.75" x14ac:dyDescent="0.25">
      <c r="B43" s="113" t="s">
        <v>18</v>
      </c>
      <c r="C43" s="111"/>
      <c r="D43" s="111"/>
      <c r="E43" s="114"/>
      <c r="F43" s="111"/>
      <c r="G43" s="111"/>
      <c r="H43" s="112"/>
    </row>
    <row r="44" spans="2:8" x14ac:dyDescent="0.25">
      <c r="B44" s="89"/>
      <c r="C44" s="90" t="s">
        <v>201</v>
      </c>
      <c r="D44" s="90" t="s">
        <v>202</v>
      </c>
      <c r="E44" s="91" t="s">
        <v>203</v>
      </c>
      <c r="F44" s="89"/>
      <c r="G44" s="72"/>
      <c r="H44" s="94"/>
    </row>
    <row r="45" spans="2:8" x14ac:dyDescent="0.25">
      <c r="B45" s="89" t="str">
        <f>COOS!F81</f>
        <v xml:space="preserve">Owner </v>
      </c>
      <c r="C45" s="72">
        <f>COOS!G81</f>
        <v>10973.187384500025</v>
      </c>
      <c r="D45" s="72">
        <f>COOS!H81</f>
        <v>10756.171241175623</v>
      </c>
      <c r="E45" s="94">
        <f>COOS!I81</f>
        <v>10539.155097851226</v>
      </c>
      <c r="F45" s="89"/>
      <c r="G45" s="72"/>
      <c r="H45" s="94"/>
    </row>
    <row r="46" spans="2:8" x14ac:dyDescent="0.25">
      <c r="B46" s="89" t="str">
        <f>COOS!F82</f>
        <v xml:space="preserve">Renter </v>
      </c>
      <c r="C46" s="72">
        <f>COOS!G82</f>
        <v>4409.4550514773018</v>
      </c>
      <c r="D46" s="72">
        <f>COOS!H82</f>
        <v>4313.9931159091147</v>
      </c>
      <c r="E46" s="94">
        <f>COOS!I82</f>
        <v>4218.5311803409231</v>
      </c>
      <c r="F46" s="89"/>
      <c r="G46" s="72"/>
      <c r="H46" s="94"/>
    </row>
    <row r="47" spans="2:8" x14ac:dyDescent="0.25">
      <c r="B47" s="101" t="str">
        <f>COOS!F83</f>
        <v>Total</v>
      </c>
      <c r="C47" s="102">
        <f>COOS!G83</f>
        <v>15382.642435977326</v>
      </c>
      <c r="D47" s="102">
        <f>COOS!H83</f>
        <v>15070.164357084737</v>
      </c>
      <c r="E47" s="107">
        <f>COOS!I83</f>
        <v>14757.686278192148</v>
      </c>
      <c r="F47" s="89"/>
      <c r="G47" s="72"/>
      <c r="H47" s="94"/>
    </row>
    <row r="48" spans="2:8" x14ac:dyDescent="0.25">
      <c r="B48" s="95" t="s">
        <v>204</v>
      </c>
      <c r="C48" s="97"/>
      <c r="D48" s="97"/>
      <c r="E48" s="100"/>
      <c r="F48" s="99"/>
      <c r="G48" s="97"/>
      <c r="H48" s="100"/>
    </row>
    <row r="49" spans="2:8" x14ac:dyDescent="0.25">
      <c r="B49" s="89" t="str">
        <f>COOS!F86</f>
        <v xml:space="preserve">Owner </v>
      </c>
      <c r="C49" s="72">
        <f>COOS!G86</f>
        <v>502.18738450002456</v>
      </c>
      <c r="D49" s="72">
        <f>COOS!H86</f>
        <v>285.17124117562344</v>
      </c>
      <c r="E49" s="94">
        <f>COOS!I86</f>
        <v>68.155097851225946</v>
      </c>
      <c r="F49" s="88">
        <f t="shared" ref="F49:H51" si="6">C49/10</f>
        <v>50.218738450002455</v>
      </c>
      <c r="G49" s="73">
        <f t="shared" si="6"/>
        <v>28.517124117562343</v>
      </c>
      <c r="H49" s="87">
        <f t="shared" si="6"/>
        <v>6.815509785122595</v>
      </c>
    </row>
    <row r="50" spans="2:8" x14ac:dyDescent="0.25">
      <c r="B50" s="89" t="str">
        <f>COOS!F87</f>
        <v xml:space="preserve">Renter </v>
      </c>
      <c r="C50" s="72">
        <f>COOS!G87</f>
        <v>-289.54494852269818</v>
      </c>
      <c r="D50" s="72">
        <f>COOS!H87</f>
        <v>-385.00688409088525</v>
      </c>
      <c r="E50" s="94">
        <f>COOS!I87</f>
        <v>-480.46881965907687</v>
      </c>
      <c r="F50" s="89">
        <f t="shared" si="6"/>
        <v>-28.954494852269818</v>
      </c>
      <c r="G50" s="72">
        <f t="shared" si="6"/>
        <v>-38.500688409088525</v>
      </c>
      <c r="H50" s="94">
        <f t="shared" si="6"/>
        <v>-48.046881965907687</v>
      </c>
    </row>
    <row r="51" spans="2:8" x14ac:dyDescent="0.25">
      <c r="B51" s="89" t="str">
        <f>COOS!F88</f>
        <v>Total</v>
      </c>
      <c r="C51" s="72">
        <f>COOS!G88</f>
        <v>212.64243597732639</v>
      </c>
      <c r="D51" s="72">
        <f>COOS!H88</f>
        <v>-99.835642915262724</v>
      </c>
      <c r="E51" s="94">
        <f>COOS!I88</f>
        <v>-412.31372180785183</v>
      </c>
      <c r="F51" s="101">
        <f t="shared" si="6"/>
        <v>21.264243597732637</v>
      </c>
      <c r="G51" s="102">
        <f t="shared" si="6"/>
        <v>-9.9835642915262728</v>
      </c>
      <c r="H51" s="107">
        <f t="shared" si="6"/>
        <v>-41.231372180785186</v>
      </c>
    </row>
    <row r="52" spans="2:8" x14ac:dyDescent="0.25">
      <c r="B52" s="103" t="s">
        <v>65</v>
      </c>
      <c r="C52" s="97"/>
      <c r="D52" s="97"/>
      <c r="E52" s="100"/>
      <c r="F52" s="99"/>
      <c r="G52" s="97"/>
      <c r="H52" s="100"/>
    </row>
    <row r="53" spans="2:8" x14ac:dyDescent="0.25">
      <c r="B53" s="89" t="str">
        <f>COOS!F90</f>
        <v xml:space="preserve">Owner </v>
      </c>
      <c r="C53" s="72">
        <f>COOS!G90</f>
        <v>406.16052078842813</v>
      </c>
      <c r="D53" s="72">
        <f>COOS!H90</f>
        <v>230.64159595543961</v>
      </c>
      <c r="E53" s="93">
        <f>COOS!I90</f>
        <v>55.122671122454008</v>
      </c>
      <c r="F53" s="88">
        <f t="shared" ref="F53:H55" si="7">C53/10</f>
        <v>40.616052078842813</v>
      </c>
      <c r="G53" s="73">
        <f t="shared" si="7"/>
        <v>23.064159595543963</v>
      </c>
      <c r="H53" s="87">
        <f t="shared" si="7"/>
        <v>5.512267112245401</v>
      </c>
    </row>
    <row r="54" spans="2:8" x14ac:dyDescent="0.25">
      <c r="B54" s="89" t="str">
        <f>COOS!F91</f>
        <v xml:space="preserve">Renter </v>
      </c>
      <c r="C54" s="72">
        <f>COOS!G91</f>
        <v>-234.17897524590637</v>
      </c>
      <c r="D54" s="72">
        <f>COOS!H91</f>
        <v>-311.38694713561904</v>
      </c>
      <c r="E54" s="93">
        <f>COOS!I91</f>
        <v>-388.5949190253354</v>
      </c>
      <c r="F54" s="89">
        <f t="shared" si="7"/>
        <v>-23.417897524590636</v>
      </c>
      <c r="G54" s="72">
        <f t="shared" si="7"/>
        <v>-31.138694713561904</v>
      </c>
      <c r="H54" s="94">
        <f t="shared" si="7"/>
        <v>-38.859491902533541</v>
      </c>
    </row>
    <row r="55" spans="2:8" x14ac:dyDescent="0.25">
      <c r="B55" s="89" t="str">
        <f>COOS!F92</f>
        <v>Total</v>
      </c>
      <c r="C55" s="72">
        <f>COOS!G92</f>
        <v>171.98154554252176</v>
      </c>
      <c r="D55" s="72">
        <f>COOS!H92</f>
        <v>-80.745351180179426</v>
      </c>
      <c r="E55" s="93">
        <f>COOS!I92</f>
        <v>-333.47224790288141</v>
      </c>
      <c r="F55" s="101">
        <f t="shared" si="7"/>
        <v>17.198154554252177</v>
      </c>
      <c r="G55" s="102">
        <f t="shared" si="7"/>
        <v>-8.074535118017943</v>
      </c>
      <c r="H55" s="107">
        <f t="shared" si="7"/>
        <v>-33.347224790288138</v>
      </c>
    </row>
    <row r="56" spans="2:8" ht="15.75" x14ac:dyDescent="0.25">
      <c r="B56" s="113" t="s">
        <v>19</v>
      </c>
      <c r="C56" s="115"/>
      <c r="D56" s="115"/>
      <c r="E56" s="116"/>
      <c r="F56" s="115"/>
      <c r="G56" s="115"/>
      <c r="H56" s="117"/>
    </row>
    <row r="57" spans="2:8" x14ac:dyDescent="0.25">
      <c r="B57" s="89"/>
      <c r="C57" s="90" t="s">
        <v>201</v>
      </c>
      <c r="D57" s="90" t="s">
        <v>202</v>
      </c>
      <c r="E57" s="91" t="s">
        <v>203</v>
      </c>
      <c r="F57" s="89"/>
      <c r="G57" s="72"/>
      <c r="H57" s="93"/>
    </row>
    <row r="58" spans="2:8" x14ac:dyDescent="0.25">
      <c r="B58" s="89" t="str">
        <f>GRAFTON!F81</f>
        <v xml:space="preserve">Owner </v>
      </c>
      <c r="C58" s="72">
        <f>GRAFTON!G81</f>
        <v>30252.082979432729</v>
      </c>
      <c r="D58" s="72">
        <f>GRAFTON!H81</f>
        <v>28781.444298596114</v>
      </c>
      <c r="E58" s="72">
        <f>GRAFTON!I81</f>
        <v>27310.805617759488</v>
      </c>
      <c r="F58" s="89"/>
      <c r="G58" s="72"/>
      <c r="H58" s="93"/>
    </row>
    <row r="59" spans="2:8" x14ac:dyDescent="0.25">
      <c r="B59" s="89" t="str">
        <f>GRAFTON!F83</f>
        <v>Total</v>
      </c>
      <c r="C59" s="72">
        <f>GRAFTON!G82</f>
        <v>13874.836270220378</v>
      </c>
      <c r="D59" s="72">
        <f>GRAFTON!H82</f>
        <v>13076.375571786282</v>
      </c>
      <c r="E59" s="72">
        <f>GRAFTON!I82</f>
        <v>12277.914873352194</v>
      </c>
      <c r="F59" s="89"/>
      <c r="G59" s="72"/>
      <c r="H59" s="93"/>
    </row>
    <row r="60" spans="2:8" x14ac:dyDescent="0.25">
      <c r="B60" s="89" t="str">
        <f>GRAFTON!F84</f>
        <v>Net Production Need 2010-2020</v>
      </c>
      <c r="C60" s="72">
        <f>GRAFTON!G83</f>
        <v>44126.919249653103</v>
      </c>
      <c r="D60" s="72">
        <f>GRAFTON!H83</f>
        <v>41857.819870382395</v>
      </c>
      <c r="E60" s="72">
        <f>GRAFTON!I83</f>
        <v>39588.720491111686</v>
      </c>
      <c r="F60" s="89"/>
      <c r="G60" s="72"/>
      <c r="H60" s="93"/>
    </row>
    <row r="61" spans="2:8" x14ac:dyDescent="0.25">
      <c r="B61" s="95" t="s">
        <v>204</v>
      </c>
      <c r="C61" s="97"/>
      <c r="D61" s="97"/>
      <c r="E61" s="98"/>
      <c r="F61" s="99"/>
      <c r="G61" s="97"/>
      <c r="H61" s="98"/>
    </row>
    <row r="62" spans="2:8" x14ac:dyDescent="0.25">
      <c r="B62" s="89" t="str">
        <f>GRAFTON!F86</f>
        <v xml:space="preserve">Owner </v>
      </c>
      <c r="C62" s="72">
        <f>GRAFTON!G86</f>
        <v>5088.0829794327292</v>
      </c>
      <c r="D62" s="72">
        <f>GRAFTON!H86</f>
        <v>3617.4442985961141</v>
      </c>
      <c r="E62" s="72">
        <f>GRAFTON!I86</f>
        <v>2146.8056177594881</v>
      </c>
      <c r="F62" s="88">
        <f t="shared" ref="F62:H64" si="8">C62/10</f>
        <v>508.80829794327292</v>
      </c>
      <c r="G62" s="73">
        <f t="shared" si="8"/>
        <v>361.74442985961139</v>
      </c>
      <c r="H62" s="87">
        <f t="shared" si="8"/>
        <v>214.6805617759488</v>
      </c>
    </row>
    <row r="63" spans="2:8" x14ac:dyDescent="0.25">
      <c r="B63" s="89" t="str">
        <f>GRAFTON!F87</f>
        <v xml:space="preserve">Renter </v>
      </c>
      <c r="C63" s="72">
        <f>GRAFTON!G87</f>
        <v>1394.8362702203776</v>
      </c>
      <c r="D63" s="72">
        <f>GRAFTON!H87</f>
        <v>596.37557178628231</v>
      </c>
      <c r="E63" s="72">
        <f>GRAFTON!I87</f>
        <v>-202.08512664780574</v>
      </c>
      <c r="F63" s="89">
        <f t="shared" si="8"/>
        <v>139.48362702203775</v>
      </c>
      <c r="G63" s="72">
        <f t="shared" si="8"/>
        <v>59.637557178628228</v>
      </c>
      <c r="H63" s="94">
        <f t="shared" si="8"/>
        <v>-20.208512664780574</v>
      </c>
    </row>
    <row r="64" spans="2:8" x14ac:dyDescent="0.25">
      <c r="B64" s="89" t="str">
        <f>GRAFTON!F88</f>
        <v>Total</v>
      </c>
      <c r="C64" s="72">
        <f>GRAFTON!G88</f>
        <v>6482.9192496531032</v>
      </c>
      <c r="D64" s="72">
        <f>GRAFTON!H88</f>
        <v>4213.8198703823946</v>
      </c>
      <c r="E64" s="72">
        <f>GRAFTON!I88</f>
        <v>1944.720491111686</v>
      </c>
      <c r="F64" s="101">
        <f t="shared" si="8"/>
        <v>648.29192496531027</v>
      </c>
      <c r="G64" s="102">
        <f t="shared" si="8"/>
        <v>421.38198703823946</v>
      </c>
      <c r="H64" s="107">
        <f t="shared" si="8"/>
        <v>194.47204911116859</v>
      </c>
    </row>
    <row r="65" spans="2:8" x14ac:dyDescent="0.25">
      <c r="B65" s="103" t="s">
        <v>65</v>
      </c>
      <c r="C65" s="97"/>
      <c r="D65" s="97"/>
      <c r="E65" s="98"/>
      <c r="F65" s="99"/>
      <c r="G65" s="97"/>
      <c r="H65" s="100"/>
    </row>
    <row r="66" spans="2:8" x14ac:dyDescent="0.25">
      <c r="B66" s="88" t="str">
        <f>GRAFTON!F90</f>
        <v xml:space="preserve">Owner </v>
      </c>
      <c r="C66" s="73">
        <f>GRAFTON!G90</f>
        <v>4141.8278047916465</v>
      </c>
      <c r="D66" s="73">
        <f>GRAFTON!H90</f>
        <v>2944.6908469800228</v>
      </c>
      <c r="E66" s="87">
        <f>GRAFTON!I90</f>
        <v>1747.55388916839</v>
      </c>
      <c r="F66" s="88">
        <f t="shared" ref="F66:H68" si="9">C66/10</f>
        <v>414.18278047916465</v>
      </c>
      <c r="G66" s="73">
        <f t="shared" si="9"/>
        <v>294.46908469800229</v>
      </c>
      <c r="H66" s="87">
        <f t="shared" si="9"/>
        <v>174.755388916839</v>
      </c>
    </row>
    <row r="67" spans="2:8" x14ac:dyDescent="0.25">
      <c r="B67" s="89" t="str">
        <f>GRAFTON!F91</f>
        <v xml:space="preserve">Renter </v>
      </c>
      <c r="C67" s="72">
        <f>GRAFTON!G91</f>
        <v>1135.431884755687</v>
      </c>
      <c r="D67" s="72">
        <f>GRAFTON!H91</f>
        <v>485.4647487683722</v>
      </c>
      <c r="E67" s="94">
        <f>GRAFTON!I91</f>
        <v>-164.50238721893652</v>
      </c>
      <c r="F67" s="89">
        <f t="shared" si="9"/>
        <v>113.5431884755687</v>
      </c>
      <c r="G67" s="72">
        <f t="shared" si="9"/>
        <v>48.546474876837223</v>
      </c>
      <c r="H67" s="94">
        <f t="shared" si="9"/>
        <v>-16.450238721893651</v>
      </c>
    </row>
    <row r="68" spans="2:8" x14ac:dyDescent="0.25">
      <c r="B68" s="101" t="str">
        <f>GRAFTON!F92</f>
        <v>Total</v>
      </c>
      <c r="C68" s="102">
        <f>GRAFTON!G92</f>
        <v>5277.2596895473334</v>
      </c>
      <c r="D68" s="102">
        <f>GRAFTON!H92</f>
        <v>3430.1555957483952</v>
      </c>
      <c r="E68" s="107">
        <f>GRAFTON!I92</f>
        <v>1583.0515019494535</v>
      </c>
      <c r="F68" s="101">
        <f t="shared" si="9"/>
        <v>527.72596895473339</v>
      </c>
      <c r="G68" s="102">
        <f t="shared" si="9"/>
        <v>343.01555957483953</v>
      </c>
      <c r="H68" s="107">
        <f t="shared" si="9"/>
        <v>158.30515019494536</v>
      </c>
    </row>
    <row r="69" spans="2:8" ht="15.75" x14ac:dyDescent="0.25">
      <c r="B69" s="113" t="s">
        <v>20</v>
      </c>
      <c r="C69" s="118"/>
      <c r="D69" s="118"/>
      <c r="E69" s="118"/>
      <c r="F69" s="118"/>
      <c r="G69" s="118"/>
      <c r="H69" s="119"/>
    </row>
    <row r="70" spans="2:8" x14ac:dyDescent="0.25">
      <c r="B70" s="89"/>
      <c r="C70" s="90" t="s">
        <v>201</v>
      </c>
      <c r="D70" s="90" t="s">
        <v>202</v>
      </c>
      <c r="E70" s="91" t="s">
        <v>203</v>
      </c>
      <c r="F70" s="89"/>
      <c r="G70" s="72"/>
      <c r="H70" s="94"/>
    </row>
    <row r="71" spans="2:8" x14ac:dyDescent="0.25">
      <c r="B71" s="89" t="str">
        <f>HILLSBOROUGH!F81</f>
        <v xml:space="preserve">Owner </v>
      </c>
      <c r="C71" s="72">
        <f>HILLSBOROUGH!G81</f>
        <v>117216.26588999905</v>
      </c>
      <c r="D71" s="72">
        <f>HILLSBOROUGH!H81</f>
        <v>116607.23971473059</v>
      </c>
      <c r="E71" s="94">
        <f>HILLSBOROUGH!I81</f>
        <v>115998.21353946213</v>
      </c>
      <c r="F71" s="89"/>
      <c r="G71" s="72"/>
      <c r="H71" s="94"/>
    </row>
    <row r="72" spans="2:8" x14ac:dyDescent="0.25">
      <c r="B72" s="89" t="str">
        <f>HILLSBOROUGH!F82</f>
        <v xml:space="preserve">Renter </v>
      </c>
      <c r="C72" s="72">
        <f>HILLSBOROUGH!G82</f>
        <v>58786.37867413761</v>
      </c>
      <c r="D72" s="72">
        <f>HILLSBOROUGH!H82</f>
        <v>58454.330772450303</v>
      </c>
      <c r="E72" s="94">
        <f>HILLSBOROUGH!I82</f>
        <v>58122.282870763011</v>
      </c>
      <c r="F72" s="89"/>
      <c r="G72" s="72"/>
      <c r="H72" s="94"/>
    </row>
    <row r="73" spans="2:8" x14ac:dyDescent="0.25">
      <c r="B73" s="89" t="str">
        <f>HILLSBOROUGH!F83</f>
        <v>Total</v>
      </c>
      <c r="C73" s="102">
        <f>HILLSBOROUGH!G83</f>
        <v>176002.64456413666</v>
      </c>
      <c r="D73" s="102">
        <f>HILLSBOROUGH!H83</f>
        <v>175061.5704871809</v>
      </c>
      <c r="E73" s="107">
        <f>HILLSBOROUGH!I83</f>
        <v>174120.49641022514</v>
      </c>
      <c r="F73" s="89"/>
      <c r="G73" s="72"/>
      <c r="H73" s="94"/>
    </row>
    <row r="74" spans="2:8" x14ac:dyDescent="0.25">
      <c r="B74" s="95" t="s">
        <v>204</v>
      </c>
      <c r="C74" s="97"/>
      <c r="D74" s="97"/>
      <c r="E74" s="100"/>
      <c r="F74" s="99"/>
      <c r="G74" s="97"/>
      <c r="H74" s="100"/>
    </row>
    <row r="75" spans="2:8" x14ac:dyDescent="0.25">
      <c r="B75" s="88" t="str">
        <f>HILLSBOROUGH!F86</f>
        <v xml:space="preserve">Owner </v>
      </c>
      <c r="C75" s="73">
        <f>HILLSBOROUGH!G86</f>
        <v>11670.265889999049</v>
      </c>
      <c r="D75" s="73">
        <f>HILLSBOROUGH!H86</f>
        <v>11061.239714730589</v>
      </c>
      <c r="E75" s="72">
        <f>HILLSBOROUGH!I86</f>
        <v>10452.213539462129</v>
      </c>
      <c r="F75" s="88">
        <f t="shared" ref="F75:H77" si="10">C75/10</f>
        <v>1167.026588999905</v>
      </c>
      <c r="G75" s="73">
        <f t="shared" si="10"/>
        <v>1106.1239714730589</v>
      </c>
      <c r="H75" s="87">
        <f t="shared" si="10"/>
        <v>1045.221353946213</v>
      </c>
    </row>
    <row r="76" spans="2:8" x14ac:dyDescent="0.25">
      <c r="B76" s="89" t="str">
        <f>HILLSBOROUGH!F87</f>
        <v xml:space="preserve">Renter </v>
      </c>
      <c r="C76" s="72">
        <f>HILLSBOROUGH!G87</f>
        <v>3101.3786741376098</v>
      </c>
      <c r="D76" s="72">
        <f>HILLSBOROUGH!H87</f>
        <v>2769.3307724503029</v>
      </c>
      <c r="E76" s="72">
        <f>HILLSBOROUGH!I87</f>
        <v>2437.2828707630106</v>
      </c>
      <c r="F76" s="89">
        <f t="shared" si="10"/>
        <v>310.137867413761</v>
      </c>
      <c r="G76" s="72">
        <f t="shared" si="10"/>
        <v>276.93307724503029</v>
      </c>
      <c r="H76" s="94">
        <f t="shared" si="10"/>
        <v>243.72828707630106</v>
      </c>
    </row>
    <row r="77" spans="2:8" x14ac:dyDescent="0.25">
      <c r="B77" s="101" t="str">
        <f>HILLSBOROUGH!F88</f>
        <v>Total</v>
      </c>
      <c r="C77" s="102">
        <f>HILLSBOROUGH!G88</f>
        <v>14771.644564136659</v>
      </c>
      <c r="D77" s="102">
        <f>HILLSBOROUGH!H88</f>
        <v>13830.570487180899</v>
      </c>
      <c r="E77" s="72">
        <f>HILLSBOROUGH!I88</f>
        <v>12889.49641022514</v>
      </c>
      <c r="F77" s="101">
        <f t="shared" si="10"/>
        <v>1477.1644564136659</v>
      </c>
      <c r="G77" s="102">
        <f t="shared" si="10"/>
        <v>1383.0570487180898</v>
      </c>
      <c r="H77" s="107">
        <f t="shared" si="10"/>
        <v>1288.949641022514</v>
      </c>
    </row>
    <row r="78" spans="2:8" x14ac:dyDescent="0.25">
      <c r="B78" s="103" t="s">
        <v>65</v>
      </c>
      <c r="C78" s="97"/>
      <c r="D78" s="97"/>
      <c r="E78" s="100"/>
      <c r="F78" s="99"/>
      <c r="G78" s="97"/>
      <c r="H78" s="100"/>
    </row>
    <row r="79" spans="2:8" x14ac:dyDescent="0.25">
      <c r="B79" s="89" t="str">
        <f>HILLSBOROUGH!F90</f>
        <v xml:space="preserve">Owner </v>
      </c>
      <c r="C79" s="72">
        <f>HILLSBOROUGH!G90</f>
        <v>7988.8347353847748</v>
      </c>
      <c r="D79" s="72">
        <f>HILLSBOROUGH!H90</f>
        <v>7571.9282561662794</v>
      </c>
      <c r="E79" s="72">
        <f>HILLSBOROUGH!I90</f>
        <v>7155.0217769477831</v>
      </c>
      <c r="F79" s="88">
        <f t="shared" ref="F79:H81" si="11">C79/10</f>
        <v>798.88347353847746</v>
      </c>
      <c r="G79" s="73">
        <f t="shared" si="11"/>
        <v>757.19282561662794</v>
      </c>
      <c r="H79" s="87">
        <f t="shared" si="11"/>
        <v>715.50217769477831</v>
      </c>
    </row>
    <row r="80" spans="2:8" x14ac:dyDescent="0.25">
      <c r="B80" s="89" t="str">
        <f>HILLSBOROUGH!F91</f>
        <v xml:space="preserve">Renter </v>
      </c>
      <c r="C80" s="72">
        <f>HILLSBOROUGH!G91</f>
        <v>2123.0366054268311</v>
      </c>
      <c r="D80" s="72">
        <f>HILLSBOROUGH!H91</f>
        <v>1895.7345168699264</v>
      </c>
      <c r="E80" s="72">
        <f>HILLSBOROUGH!I91</f>
        <v>1668.432428313032</v>
      </c>
      <c r="F80" s="89">
        <f t="shared" si="11"/>
        <v>212.3036605426831</v>
      </c>
      <c r="G80" s="72">
        <f t="shared" si="11"/>
        <v>189.57345168699266</v>
      </c>
      <c r="H80" s="94">
        <f t="shared" si="11"/>
        <v>166.8432428313032</v>
      </c>
    </row>
    <row r="81" spans="2:8" x14ac:dyDescent="0.25">
      <c r="B81" s="89" t="str">
        <f>HILLSBOROUGH!F92</f>
        <v>Total</v>
      </c>
      <c r="C81" s="102">
        <f>HILLSBOROUGH!G92</f>
        <v>10111.871340811605</v>
      </c>
      <c r="D81" s="102">
        <f>HILLSBOROUGH!H92</f>
        <v>9467.6627730362052</v>
      </c>
      <c r="E81" s="72">
        <f>HILLSBOROUGH!I92</f>
        <v>8823.4542052608158</v>
      </c>
      <c r="F81" s="101">
        <f t="shared" si="11"/>
        <v>1011.1871340811606</v>
      </c>
      <c r="G81" s="102">
        <f t="shared" si="11"/>
        <v>946.76627730362054</v>
      </c>
      <c r="H81" s="107">
        <f t="shared" si="11"/>
        <v>882.34542052608163</v>
      </c>
    </row>
    <row r="82" spans="2:8" ht="15.75" x14ac:dyDescent="0.25">
      <c r="B82" s="113" t="s">
        <v>6</v>
      </c>
      <c r="C82" s="118"/>
      <c r="D82" s="118"/>
      <c r="E82" s="118"/>
      <c r="F82" s="118"/>
      <c r="G82" s="118"/>
      <c r="H82" s="119"/>
    </row>
    <row r="83" spans="2:8" x14ac:dyDescent="0.25">
      <c r="B83" s="89"/>
      <c r="C83" s="90" t="s">
        <v>201</v>
      </c>
      <c r="D83" s="90" t="s">
        <v>202</v>
      </c>
      <c r="E83" s="91" t="s">
        <v>203</v>
      </c>
      <c r="F83" s="89"/>
      <c r="G83" s="72"/>
      <c r="H83" s="94"/>
    </row>
    <row r="84" spans="2:8" x14ac:dyDescent="0.25">
      <c r="B84" s="89" t="str">
        <f>MERRIMACK!F81</f>
        <v xml:space="preserve">Owner </v>
      </c>
      <c r="C84" s="72">
        <f>MERRIMACK!G81</f>
        <v>49790.601297071691</v>
      </c>
      <c r="D84" s="72">
        <f>MERRIMACK!H81</f>
        <v>47643.430163687357</v>
      </c>
      <c r="E84" s="72">
        <f>MERRIMACK!I81</f>
        <v>45496.25903030303</v>
      </c>
      <c r="F84" s="89"/>
      <c r="G84" s="72"/>
      <c r="H84" s="94"/>
    </row>
    <row r="85" spans="2:8" x14ac:dyDescent="0.25">
      <c r="B85" s="89" t="str">
        <f>MERRIMACK!F82</f>
        <v xml:space="preserve">Renter </v>
      </c>
      <c r="C85" s="72">
        <f>MERRIMACK!G82</f>
        <v>20099.856176816436</v>
      </c>
      <c r="D85" s="72">
        <f>MERRIMACK!H82</f>
        <v>19175.270755074886</v>
      </c>
      <c r="E85" s="72">
        <f>MERRIMACK!I82</f>
        <v>18250.685333333335</v>
      </c>
      <c r="F85" s="89"/>
      <c r="G85" s="72"/>
      <c r="H85" s="94"/>
    </row>
    <row r="86" spans="2:8" x14ac:dyDescent="0.25">
      <c r="B86" s="101" t="str">
        <f>MERRIMACK!F83</f>
        <v>Total</v>
      </c>
      <c r="C86" s="102">
        <f>MERRIMACK!G83</f>
        <v>69890.45747388812</v>
      </c>
      <c r="D86" s="102">
        <f>MERRIMACK!H83</f>
        <v>66818.700918762246</v>
      </c>
      <c r="E86" s="72">
        <f>MERRIMACK!I83</f>
        <v>63746.944363636365</v>
      </c>
      <c r="F86" s="89"/>
      <c r="G86" s="72"/>
      <c r="H86" s="94"/>
    </row>
    <row r="87" spans="2:8" x14ac:dyDescent="0.25">
      <c r="B87" s="95" t="s">
        <v>204</v>
      </c>
      <c r="C87" s="97"/>
      <c r="D87" s="97"/>
      <c r="E87" s="100"/>
      <c r="F87" s="99"/>
      <c r="G87" s="97"/>
      <c r="H87" s="100"/>
    </row>
    <row r="88" spans="2:8" x14ac:dyDescent="0.25">
      <c r="B88" s="88" t="str">
        <f>MERRIMACK!F86</f>
        <v xml:space="preserve">Owner </v>
      </c>
      <c r="C88" s="73">
        <f>MERRIMACK!G86</f>
        <v>8301.6012970716911</v>
      </c>
      <c r="D88" s="73">
        <f>MERRIMACK!H86</f>
        <v>6154.430163687357</v>
      </c>
      <c r="E88" s="72">
        <f>MERRIMACK!I86</f>
        <v>4007.2590303030302</v>
      </c>
      <c r="F88" s="88">
        <f t="shared" ref="F88:H90" si="12">C88/10</f>
        <v>830.16012970716906</v>
      </c>
      <c r="G88" s="73">
        <f t="shared" si="12"/>
        <v>615.4430163687357</v>
      </c>
      <c r="H88" s="87">
        <f t="shared" si="12"/>
        <v>400.72590303030302</v>
      </c>
    </row>
    <row r="89" spans="2:8" x14ac:dyDescent="0.25">
      <c r="B89" s="89" t="str">
        <f>MERRIMACK!F87</f>
        <v xml:space="preserve">Renter </v>
      </c>
      <c r="C89" s="72">
        <f>MERRIMACK!G87</f>
        <v>2305.8561768164363</v>
      </c>
      <c r="D89" s="72">
        <f>MERRIMACK!H87</f>
        <v>1381.2707550748855</v>
      </c>
      <c r="E89" s="72">
        <f>MERRIMACK!I87</f>
        <v>456.68533333333471</v>
      </c>
      <c r="F89" s="89">
        <f t="shared" si="12"/>
        <v>230.58561768164364</v>
      </c>
      <c r="G89" s="72">
        <f t="shared" si="12"/>
        <v>138.12707550748854</v>
      </c>
      <c r="H89" s="94">
        <f t="shared" si="12"/>
        <v>45.668533333333471</v>
      </c>
    </row>
    <row r="90" spans="2:8" x14ac:dyDescent="0.25">
      <c r="B90" s="101" t="str">
        <f>MERRIMACK!F88</f>
        <v>Total</v>
      </c>
      <c r="C90" s="102">
        <f>MERRIMACK!G88</f>
        <v>10607.45747388812</v>
      </c>
      <c r="D90" s="102">
        <f>MERRIMACK!H88</f>
        <v>7535.7009187622461</v>
      </c>
      <c r="E90" s="72">
        <f>MERRIMACK!I88</f>
        <v>4463.9443636363649</v>
      </c>
      <c r="F90" s="101">
        <f t="shared" si="12"/>
        <v>1060.7457473888121</v>
      </c>
      <c r="G90" s="102">
        <f t="shared" si="12"/>
        <v>753.57009187622464</v>
      </c>
      <c r="H90" s="107">
        <f t="shared" si="12"/>
        <v>446.39443636363649</v>
      </c>
    </row>
    <row r="91" spans="2:8" x14ac:dyDescent="0.25">
      <c r="B91" s="103" t="s">
        <v>65</v>
      </c>
      <c r="C91" s="97"/>
      <c r="D91" s="97"/>
      <c r="E91" s="100"/>
      <c r="F91" s="99"/>
      <c r="G91" s="97"/>
      <c r="H91" s="100"/>
    </row>
    <row r="92" spans="2:8" x14ac:dyDescent="0.25">
      <c r="B92" s="88" t="str">
        <f>MERRIMACK!F90</f>
        <v xml:space="preserve">Owner </v>
      </c>
      <c r="C92" s="73">
        <f>MERRIMACK!G90</f>
        <v>5476.7033263785643</v>
      </c>
      <c r="D92" s="73">
        <f>MERRIMACK!H90</f>
        <v>4060.1791080138451</v>
      </c>
      <c r="E92" s="72">
        <f>MERRIMACK!I90</f>
        <v>2643.6548896491308</v>
      </c>
      <c r="F92" s="88">
        <f t="shared" ref="F92:H94" si="13">C92/10</f>
        <v>547.6703326378564</v>
      </c>
      <c r="G92" s="73">
        <f t="shared" si="13"/>
        <v>406.01791080138452</v>
      </c>
      <c r="H92" s="87">
        <f t="shared" si="13"/>
        <v>264.36548896491308</v>
      </c>
    </row>
    <row r="93" spans="2:8" x14ac:dyDescent="0.25">
      <c r="B93" s="89" t="str">
        <f>MERRIMACK!F91</f>
        <v xml:space="preserve">Renter </v>
      </c>
      <c r="C93" s="72">
        <f>MERRIMACK!G91</f>
        <v>1521.2113593284362</v>
      </c>
      <c r="D93" s="72">
        <f>MERRIMACK!H91</f>
        <v>911.24710381073942</v>
      </c>
      <c r="E93" s="72">
        <f>MERRIMACK!I91</f>
        <v>301.28284829304278</v>
      </c>
      <c r="F93" s="89">
        <f t="shared" si="13"/>
        <v>152.12113593284363</v>
      </c>
      <c r="G93" s="72">
        <f t="shared" si="13"/>
        <v>91.124710381073939</v>
      </c>
      <c r="H93" s="94">
        <f t="shared" si="13"/>
        <v>30.128284829304278</v>
      </c>
    </row>
    <row r="94" spans="2:8" x14ac:dyDescent="0.25">
      <c r="B94" s="101" t="str">
        <f>MERRIMACK!F92</f>
        <v>Total</v>
      </c>
      <c r="C94" s="102">
        <f>MERRIMACK!G92</f>
        <v>6997.9146857070009</v>
      </c>
      <c r="D94" s="102">
        <f>MERRIMACK!H92</f>
        <v>4971.4262118245842</v>
      </c>
      <c r="E94" s="72">
        <f>MERRIMACK!I92</f>
        <v>2944.9377379421735</v>
      </c>
      <c r="F94" s="101">
        <f t="shared" si="13"/>
        <v>699.79146857070009</v>
      </c>
      <c r="G94" s="102">
        <f t="shared" si="13"/>
        <v>497.14262118245841</v>
      </c>
      <c r="H94" s="107">
        <f t="shared" si="13"/>
        <v>294.49377379421736</v>
      </c>
    </row>
    <row r="95" spans="2:8" ht="15.75" x14ac:dyDescent="0.25">
      <c r="B95" s="113" t="s">
        <v>21</v>
      </c>
      <c r="C95" s="118"/>
      <c r="D95" s="118"/>
      <c r="E95" s="118"/>
      <c r="F95" s="118"/>
      <c r="G95" s="118"/>
      <c r="H95" s="119"/>
    </row>
    <row r="96" spans="2:8" x14ac:dyDescent="0.25">
      <c r="B96" s="89"/>
      <c r="C96" s="90" t="s">
        <v>201</v>
      </c>
      <c r="D96" s="90" t="s">
        <v>202</v>
      </c>
      <c r="E96" s="91" t="s">
        <v>203</v>
      </c>
      <c r="F96" s="89"/>
      <c r="G96" s="72"/>
      <c r="H96" s="94"/>
    </row>
    <row r="97" spans="2:8" x14ac:dyDescent="0.25">
      <c r="B97" s="89" t="str">
        <f>ROCKINGHAM!F81</f>
        <v xml:space="preserve">Owner </v>
      </c>
      <c r="C97" s="72">
        <f>ROCKINGHAM!G81</f>
        <v>106009.08952842378</v>
      </c>
      <c r="D97" s="72">
        <f>ROCKINGHAM!H81</f>
        <v>102783.34806143842</v>
      </c>
      <c r="E97" s="94">
        <f>ROCKINGHAM!I81</f>
        <v>99557.606594453071</v>
      </c>
      <c r="F97" s="89"/>
      <c r="G97" s="72"/>
      <c r="H97" s="94"/>
    </row>
    <row r="98" spans="2:8" x14ac:dyDescent="0.25">
      <c r="B98" s="89" t="str">
        <f>ROCKINGHAM!F82</f>
        <v xml:space="preserve">Renter </v>
      </c>
      <c r="C98" s="72">
        <f>ROCKINGHAM!G82</f>
        <v>33559.978768463494</v>
      </c>
      <c r="D98" s="72">
        <f>ROCKINGHAM!H82</f>
        <v>32459.424629800225</v>
      </c>
      <c r="E98" s="94">
        <f>ROCKINGHAM!I82</f>
        <v>31358.870491136946</v>
      </c>
      <c r="F98" s="89"/>
      <c r="G98" s="72"/>
      <c r="H98" s="94"/>
    </row>
    <row r="99" spans="2:8" x14ac:dyDescent="0.25">
      <c r="B99" s="101" t="str">
        <f>ROCKINGHAM!F83</f>
        <v>Total</v>
      </c>
      <c r="C99" s="102">
        <f>ROCKINGHAM!G83</f>
        <v>139569.06829688727</v>
      </c>
      <c r="D99" s="102">
        <f>ROCKINGHAM!H83</f>
        <v>135242.77269123864</v>
      </c>
      <c r="E99" s="107">
        <f>ROCKINGHAM!I83</f>
        <v>130916.47708559001</v>
      </c>
      <c r="F99" s="89"/>
      <c r="G99" s="72"/>
      <c r="H99" s="94"/>
    </row>
    <row r="100" spans="2:8" x14ac:dyDescent="0.25">
      <c r="B100" s="95" t="s">
        <v>204</v>
      </c>
      <c r="C100" s="97"/>
      <c r="D100" s="97"/>
      <c r="E100" s="100"/>
      <c r="F100" s="99"/>
      <c r="G100" s="97"/>
      <c r="H100" s="100"/>
    </row>
    <row r="101" spans="2:8" x14ac:dyDescent="0.25">
      <c r="B101" s="88" t="str">
        <f>ROCKINGHAM!F86</f>
        <v xml:space="preserve">Owner </v>
      </c>
      <c r="C101" s="73">
        <f>ROCKINGHAM!G86</f>
        <v>16164.089528423778</v>
      </c>
      <c r="D101" s="73">
        <f>ROCKINGHAM!H86</f>
        <v>12938.348061438417</v>
      </c>
      <c r="E101" s="72">
        <f>ROCKINGHAM!I86</f>
        <v>9712.606594453071</v>
      </c>
      <c r="F101" s="88">
        <f t="shared" ref="F101:H103" si="14">C101/10</f>
        <v>1616.4089528423779</v>
      </c>
      <c r="G101" s="73">
        <f t="shared" si="14"/>
        <v>1293.8348061438417</v>
      </c>
      <c r="H101" s="87">
        <f t="shared" si="14"/>
        <v>971.26065944530706</v>
      </c>
    </row>
    <row r="102" spans="2:8" x14ac:dyDescent="0.25">
      <c r="B102" s="89" t="str">
        <f>ROCKINGHAM!F87</f>
        <v xml:space="preserve">Renter </v>
      </c>
      <c r="C102" s="72">
        <f>ROCKINGHAM!G87</f>
        <v>4684.9787684634939</v>
      </c>
      <c r="D102" s="72">
        <f>ROCKINGHAM!H87</f>
        <v>3584.4246298002254</v>
      </c>
      <c r="E102" s="72">
        <f>ROCKINGHAM!I87</f>
        <v>2483.8704911369459</v>
      </c>
      <c r="F102" s="89">
        <f t="shared" si="14"/>
        <v>468.49787684634941</v>
      </c>
      <c r="G102" s="72">
        <f t="shared" si="14"/>
        <v>358.44246298002253</v>
      </c>
      <c r="H102" s="94">
        <f t="shared" si="14"/>
        <v>248.38704911369459</v>
      </c>
    </row>
    <row r="103" spans="2:8" x14ac:dyDescent="0.25">
      <c r="B103" s="101" t="str">
        <f>ROCKINGHAM!F88</f>
        <v>Total</v>
      </c>
      <c r="C103" s="102">
        <f>ROCKINGHAM!G88</f>
        <v>20849.068296887272</v>
      </c>
      <c r="D103" s="102">
        <f>ROCKINGHAM!H88</f>
        <v>16522.772691238642</v>
      </c>
      <c r="E103" s="72">
        <f>ROCKINGHAM!I88</f>
        <v>12196.477085590013</v>
      </c>
      <c r="F103" s="101">
        <f t="shared" si="14"/>
        <v>2084.9068296887272</v>
      </c>
      <c r="G103" s="102">
        <f t="shared" si="14"/>
        <v>1652.2772691238642</v>
      </c>
      <c r="H103" s="107">
        <f t="shared" si="14"/>
        <v>1219.6477085590013</v>
      </c>
    </row>
    <row r="104" spans="2:8" x14ac:dyDescent="0.25">
      <c r="B104" s="103" t="s">
        <v>65</v>
      </c>
      <c r="C104" s="97"/>
      <c r="D104" s="97"/>
      <c r="E104" s="100"/>
      <c r="F104" s="99"/>
      <c r="G104" s="97"/>
      <c r="H104" s="100"/>
    </row>
    <row r="105" spans="2:8" x14ac:dyDescent="0.25">
      <c r="B105" s="89" t="str">
        <f>ROCKINGHAM!F90</f>
        <v xml:space="preserve">Owner </v>
      </c>
      <c r="C105" s="72">
        <f>ROCKINGHAM!G90</f>
        <v>8719.6992499448534</v>
      </c>
      <c r="D105" s="72">
        <f>ROCKINGHAM!H90</f>
        <v>6979.5767765616529</v>
      </c>
      <c r="E105" s="72">
        <f>ROCKINGHAM!I90</f>
        <v>5239.4543031784615</v>
      </c>
      <c r="F105" s="88">
        <f t="shared" ref="F105:H107" si="15">C105/10</f>
        <v>871.96992499448538</v>
      </c>
      <c r="G105" s="73">
        <f t="shared" si="15"/>
        <v>697.95767765616529</v>
      </c>
      <c r="H105" s="87">
        <f t="shared" si="15"/>
        <v>523.9454303178461</v>
      </c>
    </row>
    <row r="106" spans="2:8" x14ac:dyDescent="0.25">
      <c r="B106" s="89" t="str">
        <f>ROCKINGHAM!F91</f>
        <v xml:space="preserve">Renter </v>
      </c>
      <c r="C106" s="72">
        <f>ROCKINGHAM!G91</f>
        <v>2527.3063343000604</v>
      </c>
      <c r="D106" s="72">
        <f>ROCKINGHAM!H91</f>
        <v>1933.6136873649625</v>
      </c>
      <c r="E106" s="72">
        <f>ROCKINGHAM!I91</f>
        <v>1339.9210404298592</v>
      </c>
      <c r="F106" s="89">
        <f t="shared" si="15"/>
        <v>252.73063343000604</v>
      </c>
      <c r="G106" s="72">
        <f t="shared" si="15"/>
        <v>193.36136873649625</v>
      </c>
      <c r="H106" s="94">
        <f t="shared" si="15"/>
        <v>133.99210404298591</v>
      </c>
    </row>
    <row r="107" spans="2:8" x14ac:dyDescent="0.25">
      <c r="B107" s="101" t="str">
        <f>ROCKINGHAM!F92</f>
        <v>Total</v>
      </c>
      <c r="C107" s="102">
        <f>ROCKINGHAM!G92</f>
        <v>11247.005584244915</v>
      </c>
      <c r="D107" s="102">
        <f>ROCKINGHAM!H92</f>
        <v>8913.1904639266158</v>
      </c>
      <c r="E107" s="72">
        <f>ROCKINGHAM!I92</f>
        <v>6579.3753436083207</v>
      </c>
      <c r="F107" s="101">
        <f t="shared" si="15"/>
        <v>1124.7005584244914</v>
      </c>
      <c r="G107" s="102">
        <f t="shared" si="15"/>
        <v>891.31904639266156</v>
      </c>
      <c r="H107" s="107">
        <f t="shared" si="15"/>
        <v>657.93753436083205</v>
      </c>
    </row>
    <row r="108" spans="2:8" ht="15.75" x14ac:dyDescent="0.25">
      <c r="B108" s="113" t="s">
        <v>22</v>
      </c>
      <c r="C108" s="118"/>
      <c r="D108" s="118"/>
      <c r="E108" s="118"/>
      <c r="F108" s="118"/>
      <c r="G108" s="118"/>
      <c r="H108" s="119"/>
    </row>
    <row r="109" spans="2:8" x14ac:dyDescent="0.25">
      <c r="B109" s="89"/>
      <c r="C109" s="90" t="s">
        <v>201</v>
      </c>
      <c r="D109" s="90" t="s">
        <v>202</v>
      </c>
      <c r="E109" s="91" t="s">
        <v>203</v>
      </c>
      <c r="F109" s="89"/>
      <c r="G109" s="72"/>
      <c r="H109" s="94"/>
    </row>
    <row r="110" spans="2:8" x14ac:dyDescent="0.25">
      <c r="B110" s="89" t="str">
        <f>STRAFFORD!F81</f>
        <v xml:space="preserve">Owner </v>
      </c>
      <c r="C110" s="72">
        <f>STRAFFORD!G81</f>
        <v>35363.428036692538</v>
      </c>
      <c r="D110" s="72">
        <f>STRAFFORD!H81</f>
        <v>35178.126189299721</v>
      </c>
      <c r="E110" s="72">
        <f>STRAFFORD!I81</f>
        <v>34992.824341906904</v>
      </c>
      <c r="F110" s="89"/>
      <c r="G110" s="72"/>
      <c r="H110" s="94"/>
    </row>
    <row r="111" spans="2:8" x14ac:dyDescent="0.25">
      <c r="B111" s="89" t="str">
        <f>STRAFFORD!F82</f>
        <v xml:space="preserve">Renter </v>
      </c>
      <c r="C111" s="72">
        <f>STRAFFORD!G82</f>
        <v>17932.57096189629</v>
      </c>
      <c r="D111" s="72">
        <f>STRAFFORD!H82</f>
        <v>17825.618971319065</v>
      </c>
      <c r="E111" s="72">
        <f>STRAFFORD!I82</f>
        <v>17718.666980741837</v>
      </c>
      <c r="F111" s="89"/>
      <c r="G111" s="72"/>
      <c r="H111" s="94"/>
    </row>
    <row r="112" spans="2:8" x14ac:dyDescent="0.25">
      <c r="B112" s="101" t="str">
        <f>STRAFFORD!F83</f>
        <v>Total</v>
      </c>
      <c r="C112" s="102">
        <f>STRAFFORD!G83</f>
        <v>53295.998998588824</v>
      </c>
      <c r="D112" s="102">
        <f>STRAFFORD!H83</f>
        <v>53003.745160618782</v>
      </c>
      <c r="E112" s="72">
        <f>STRAFFORD!I83</f>
        <v>52711.491322648741</v>
      </c>
      <c r="F112" s="89"/>
      <c r="G112" s="72"/>
      <c r="H112" s="94"/>
    </row>
    <row r="113" spans="2:8" x14ac:dyDescent="0.25">
      <c r="B113" s="95" t="s">
        <v>204</v>
      </c>
      <c r="C113" s="97"/>
      <c r="D113" s="97"/>
      <c r="E113" s="100"/>
      <c r="F113" s="99"/>
      <c r="G113" s="97"/>
      <c r="H113" s="100"/>
    </row>
    <row r="114" spans="2:8" x14ac:dyDescent="0.25">
      <c r="B114" s="88" t="str">
        <f>STRAFFORD!F86</f>
        <v xml:space="preserve">Owner </v>
      </c>
      <c r="C114" s="73">
        <f>STRAFFORD!G86</f>
        <v>3437.4280366925377</v>
      </c>
      <c r="D114" s="73">
        <f>STRAFFORD!H86</f>
        <v>3252.1261892997209</v>
      </c>
      <c r="E114" s="72">
        <f>STRAFFORD!I86</f>
        <v>3066.824341906904</v>
      </c>
      <c r="F114" s="88">
        <f t="shared" ref="F114:H116" si="16">C114/10</f>
        <v>343.74280366925376</v>
      </c>
      <c r="G114" s="73">
        <f t="shared" si="16"/>
        <v>325.21261892997211</v>
      </c>
      <c r="H114" s="87">
        <f t="shared" si="16"/>
        <v>306.6824341906904</v>
      </c>
    </row>
    <row r="115" spans="2:8" x14ac:dyDescent="0.25">
      <c r="B115" s="89" t="str">
        <f>STRAFFORD!F87</f>
        <v xml:space="preserve">Renter </v>
      </c>
      <c r="C115" s="72">
        <f>STRAFFORD!G87</f>
        <v>824.5709618962901</v>
      </c>
      <c r="D115" s="72">
        <f>STRAFFORD!H87</f>
        <v>717.61897131906517</v>
      </c>
      <c r="E115" s="72">
        <f>STRAFFORD!I87</f>
        <v>610.6669807418366</v>
      </c>
      <c r="F115" s="89">
        <f t="shared" si="16"/>
        <v>82.457096189629013</v>
      </c>
      <c r="G115" s="72">
        <f t="shared" si="16"/>
        <v>71.761897131906522</v>
      </c>
      <c r="H115" s="94">
        <f t="shared" si="16"/>
        <v>61.066698074183662</v>
      </c>
    </row>
    <row r="116" spans="2:8" x14ac:dyDescent="0.25">
      <c r="B116" s="89" t="str">
        <f>STRAFFORD!F88</f>
        <v>Total</v>
      </c>
      <c r="C116" s="72">
        <f>STRAFFORD!G88</f>
        <v>4261.9989985888242</v>
      </c>
      <c r="D116" s="72">
        <f>STRAFFORD!H88</f>
        <v>3969.7451606187824</v>
      </c>
      <c r="E116" s="72">
        <f>STRAFFORD!I88</f>
        <v>3677.4913226487406</v>
      </c>
      <c r="F116" s="101">
        <f t="shared" si="16"/>
        <v>426.19989985888242</v>
      </c>
      <c r="G116" s="102">
        <f t="shared" si="16"/>
        <v>396.97451606187826</v>
      </c>
      <c r="H116" s="107">
        <f t="shared" si="16"/>
        <v>367.74913226487405</v>
      </c>
    </row>
    <row r="117" spans="2:8" x14ac:dyDescent="0.25">
      <c r="B117" s="103" t="s">
        <v>65</v>
      </c>
      <c r="C117" s="97"/>
      <c r="D117" s="97"/>
      <c r="E117" s="100"/>
      <c r="F117" s="99"/>
      <c r="G117" s="97"/>
      <c r="H117" s="100"/>
    </row>
    <row r="118" spans="2:8" x14ac:dyDescent="0.25">
      <c r="B118" s="89" t="str">
        <f>STRAFFORD!F90</f>
        <v xml:space="preserve">Owner </v>
      </c>
      <c r="C118" s="72">
        <f>STRAFFORD!G90</f>
        <v>1985.2676674431939</v>
      </c>
      <c r="D118" s="72">
        <f>STRAFFORD!H90</f>
        <v>1878.247604064524</v>
      </c>
      <c r="E118" s="72">
        <f>STRAFFORD!I90</f>
        <v>1771.2275406858539</v>
      </c>
      <c r="F118" s="88">
        <f t="shared" ref="F118:H120" si="17">C118/10</f>
        <v>198.52676674431939</v>
      </c>
      <c r="G118" s="73">
        <f t="shared" si="17"/>
        <v>187.82476040645241</v>
      </c>
      <c r="H118" s="87">
        <f t="shared" si="17"/>
        <v>177.12275406858538</v>
      </c>
    </row>
    <row r="119" spans="2:8" x14ac:dyDescent="0.25">
      <c r="B119" s="89" t="str">
        <f>STRAFFORD!F91</f>
        <v xml:space="preserve">Renter </v>
      </c>
      <c r="C119" s="72">
        <f>STRAFFORD!G91</f>
        <v>476.22642647097842</v>
      </c>
      <c r="D119" s="72">
        <f>STRAFFORD!H91</f>
        <v>414.45689221595609</v>
      </c>
      <c r="E119" s="72">
        <f>STRAFFORD!I91</f>
        <v>352.68735796093171</v>
      </c>
      <c r="F119" s="89">
        <f t="shared" si="17"/>
        <v>47.622642647097841</v>
      </c>
      <c r="G119" s="72">
        <f t="shared" si="17"/>
        <v>41.445689221595607</v>
      </c>
      <c r="H119" s="94">
        <f t="shared" si="17"/>
        <v>35.268735796093168</v>
      </c>
    </row>
    <row r="120" spans="2:8" x14ac:dyDescent="0.25">
      <c r="B120" s="101" t="str">
        <f>STRAFFORD!F92</f>
        <v>Total</v>
      </c>
      <c r="C120" s="102">
        <f>STRAFFORD!G92</f>
        <v>2461.4940939141725</v>
      </c>
      <c r="D120" s="102">
        <f>STRAFFORD!H92</f>
        <v>2292.7044962804803</v>
      </c>
      <c r="E120" s="72">
        <f>STRAFFORD!I92</f>
        <v>2123.9148986467858</v>
      </c>
      <c r="F120" s="101">
        <f t="shared" si="17"/>
        <v>246.14940939141724</v>
      </c>
      <c r="G120" s="102">
        <f t="shared" si="17"/>
        <v>229.27044962804803</v>
      </c>
      <c r="H120" s="107">
        <f t="shared" si="17"/>
        <v>212.39148986467859</v>
      </c>
    </row>
    <row r="121" spans="2:8" ht="15.75" x14ac:dyDescent="0.25">
      <c r="B121" s="113" t="s">
        <v>23</v>
      </c>
      <c r="C121" s="118"/>
      <c r="D121" s="118"/>
      <c r="E121" s="118"/>
      <c r="F121" s="118"/>
      <c r="G121" s="118"/>
      <c r="H121" s="119"/>
    </row>
    <row r="122" spans="2:8" x14ac:dyDescent="0.25">
      <c r="B122" s="88"/>
      <c r="C122" s="90" t="s">
        <v>201</v>
      </c>
      <c r="D122" s="90" t="s">
        <v>202</v>
      </c>
      <c r="E122" s="91" t="s">
        <v>203</v>
      </c>
      <c r="F122" s="72"/>
      <c r="G122" s="72"/>
      <c r="H122" s="94"/>
    </row>
    <row r="123" spans="2:8" x14ac:dyDescent="0.25">
      <c r="B123" s="89" t="str">
        <f>SULLIVAN!F81</f>
        <v xml:space="preserve">Owner </v>
      </c>
      <c r="C123" s="72">
        <f>SULLIVAN!G81</f>
        <v>14091.659134607236</v>
      </c>
      <c r="D123" s="72">
        <f>SULLIVAN!H81</f>
        <v>14452.438829188637</v>
      </c>
      <c r="E123" s="94">
        <f>SULLIVAN!I81</f>
        <v>14813.218523770038</v>
      </c>
      <c r="F123" s="72"/>
      <c r="G123" s="72"/>
      <c r="H123" s="94"/>
    </row>
    <row r="124" spans="2:8" x14ac:dyDescent="0.25">
      <c r="B124" s="89" t="str">
        <f>SULLIVAN!F82</f>
        <v xml:space="preserve">Renter </v>
      </c>
      <c r="C124" s="72">
        <f>SULLIVAN!G82</f>
        <v>5246.2270729731081</v>
      </c>
      <c r="D124" s="72">
        <f>SULLIVAN!H82</f>
        <v>5403.0255268342944</v>
      </c>
      <c r="E124" s="94">
        <f>SULLIVAN!I82</f>
        <v>5559.8239806954825</v>
      </c>
      <c r="F124" s="72"/>
      <c r="G124" s="72"/>
      <c r="H124" s="94"/>
    </row>
    <row r="125" spans="2:8" x14ac:dyDescent="0.25">
      <c r="B125" s="101" t="str">
        <f>SULLIVAN!F83</f>
        <v>Total</v>
      </c>
      <c r="C125" s="102">
        <f>SULLIVAN!G83</f>
        <v>19337.886207580344</v>
      </c>
      <c r="D125" s="102">
        <f>SULLIVAN!H83</f>
        <v>19855.464356022931</v>
      </c>
      <c r="E125" s="107">
        <f>SULLIVAN!I83</f>
        <v>20373.04250446552</v>
      </c>
      <c r="F125" s="72"/>
      <c r="G125" s="72"/>
      <c r="H125" s="94"/>
    </row>
    <row r="126" spans="2:8" x14ac:dyDescent="0.25">
      <c r="B126" s="95" t="s">
        <v>204</v>
      </c>
      <c r="C126" s="97"/>
      <c r="D126" s="97"/>
      <c r="E126" s="100"/>
      <c r="F126" s="99"/>
      <c r="G126" s="97"/>
      <c r="H126" s="100"/>
    </row>
    <row r="127" spans="2:8" x14ac:dyDescent="0.25">
      <c r="B127" s="88" t="str">
        <f>SULLIVAN!F86</f>
        <v xml:space="preserve">Owner </v>
      </c>
      <c r="C127" s="73">
        <f>SULLIVAN!G86</f>
        <v>705.65913460723641</v>
      </c>
      <c r="D127" s="73">
        <f>SULLIVAN!H86</f>
        <v>1066.4388291886371</v>
      </c>
      <c r="E127" s="72">
        <f>SULLIVAN!I86</f>
        <v>1427.2185237700378</v>
      </c>
      <c r="F127" s="88">
        <f t="shared" ref="F127:H129" si="18">C127/10</f>
        <v>70.565913460723635</v>
      </c>
      <c r="G127" s="73">
        <f t="shared" si="18"/>
        <v>106.64388291886371</v>
      </c>
      <c r="H127" s="87">
        <f t="shared" si="18"/>
        <v>142.72185237700378</v>
      </c>
    </row>
    <row r="128" spans="2:8" x14ac:dyDescent="0.25">
      <c r="B128" s="89" t="str">
        <f>SULLIVAN!F87</f>
        <v xml:space="preserve">Renter </v>
      </c>
      <c r="C128" s="72">
        <f>SULLIVAN!G87</f>
        <v>-288.77292702689192</v>
      </c>
      <c r="D128" s="72">
        <f>SULLIVAN!H87</f>
        <v>-131.9744731657056</v>
      </c>
      <c r="E128" s="72">
        <f>SULLIVAN!I87</f>
        <v>24.823980695482533</v>
      </c>
      <c r="F128" s="89">
        <f t="shared" si="18"/>
        <v>-28.877292702689193</v>
      </c>
      <c r="G128" s="72">
        <f t="shared" si="18"/>
        <v>-13.19744731657056</v>
      </c>
      <c r="H128" s="94">
        <f t="shared" si="18"/>
        <v>2.4823980695482533</v>
      </c>
    </row>
    <row r="129" spans="2:8" x14ac:dyDescent="0.25">
      <c r="B129" s="101" t="str">
        <f>SULLIVAN!F88</f>
        <v>Total</v>
      </c>
      <c r="C129" s="102">
        <f>SULLIVAN!G88</f>
        <v>416.88620758034449</v>
      </c>
      <c r="D129" s="102">
        <f>SULLIVAN!H88</f>
        <v>934.46435602293059</v>
      </c>
      <c r="E129" s="72">
        <f>SULLIVAN!I88</f>
        <v>1452.0425044655203</v>
      </c>
      <c r="F129" s="101">
        <f t="shared" si="18"/>
        <v>41.688620758034446</v>
      </c>
      <c r="G129" s="102">
        <f t="shared" si="18"/>
        <v>93.446435602293064</v>
      </c>
      <c r="H129" s="107">
        <f t="shared" si="18"/>
        <v>145.20425044655204</v>
      </c>
    </row>
    <row r="130" spans="2:8" x14ac:dyDescent="0.25">
      <c r="B130" s="103" t="s">
        <v>65</v>
      </c>
      <c r="C130" s="97"/>
      <c r="D130" s="97"/>
      <c r="E130" s="100"/>
      <c r="F130" s="99"/>
      <c r="G130" s="97"/>
      <c r="H130" s="100"/>
    </row>
    <row r="131" spans="2:8" x14ac:dyDescent="0.25">
      <c r="B131" s="88" t="str">
        <f>SULLIVAN!F90</f>
        <v xml:space="preserve">Owner </v>
      </c>
      <c r="C131" s="73">
        <f>SULLIVAN!G90</f>
        <v>417.6975923359588</v>
      </c>
      <c r="D131" s="73">
        <f>SULLIVAN!H90</f>
        <v>631.2522710750502</v>
      </c>
      <c r="E131" s="72">
        <f>SULLIVAN!I90</f>
        <v>844.8069498141416</v>
      </c>
      <c r="F131" s="88">
        <f t="shared" ref="F131:H133" si="19">C131/10</f>
        <v>41.769759233595877</v>
      </c>
      <c r="G131" s="73">
        <f t="shared" si="19"/>
        <v>63.125227107505019</v>
      </c>
      <c r="H131" s="87">
        <f t="shared" si="19"/>
        <v>84.48069498141416</v>
      </c>
    </row>
    <row r="132" spans="2:8" x14ac:dyDescent="0.25">
      <c r="B132" s="89" t="str">
        <f>SULLIVAN!F91</f>
        <v xml:space="preserve">Renter </v>
      </c>
      <c r="C132" s="72">
        <f>SULLIVAN!G91</f>
        <v>-170.93204131492774</v>
      </c>
      <c r="D132" s="72">
        <f>SULLIVAN!H91</f>
        <v>-78.119047834340236</v>
      </c>
      <c r="E132" s="72">
        <f>SULLIVAN!I91</f>
        <v>14.693945646248341</v>
      </c>
      <c r="F132" s="89">
        <f t="shared" si="19"/>
        <v>-17.093204131492776</v>
      </c>
      <c r="G132" s="72">
        <f t="shared" si="19"/>
        <v>-7.8119047834340236</v>
      </c>
      <c r="H132" s="94">
        <f t="shared" si="19"/>
        <v>1.4693945646248341</v>
      </c>
    </row>
    <row r="133" spans="2:8" x14ac:dyDescent="0.25">
      <c r="B133" s="101" t="str">
        <f>SULLIVAN!F92</f>
        <v>Total</v>
      </c>
      <c r="C133" s="102">
        <f>SULLIVAN!G92</f>
        <v>246.76555102103106</v>
      </c>
      <c r="D133" s="102">
        <f>SULLIVAN!H92</f>
        <v>553.13322324070998</v>
      </c>
      <c r="E133" s="72">
        <f>SULLIVAN!I92</f>
        <v>859.50089546038998</v>
      </c>
      <c r="F133" s="101">
        <f t="shared" si="19"/>
        <v>24.676555102103105</v>
      </c>
      <c r="G133" s="102">
        <f t="shared" si="19"/>
        <v>55.313322324070995</v>
      </c>
      <c r="H133" s="107">
        <f t="shared" si="19"/>
        <v>85.950089546038996</v>
      </c>
    </row>
    <row r="134" spans="2:8" ht="15.75" x14ac:dyDescent="0.25">
      <c r="B134" s="113" t="s">
        <v>131</v>
      </c>
      <c r="C134" s="118"/>
      <c r="D134" s="118"/>
      <c r="E134" s="118"/>
      <c r="F134" s="118"/>
      <c r="G134" s="118"/>
      <c r="H134" s="119"/>
    </row>
    <row r="135" spans="2:8" x14ac:dyDescent="0.25">
      <c r="B135" s="89"/>
      <c r="C135" s="90" t="s">
        <v>201</v>
      </c>
      <c r="D135" s="90" t="s">
        <v>202</v>
      </c>
      <c r="E135" s="91" t="s">
        <v>203</v>
      </c>
      <c r="F135" s="89"/>
      <c r="G135" s="72"/>
      <c r="H135" s="94"/>
    </row>
    <row r="136" spans="2:8" x14ac:dyDescent="0.25">
      <c r="B136" s="89" t="str">
        <f>'STATE TOTALS'!F81</f>
        <v xml:space="preserve">Owner </v>
      </c>
      <c r="C136" s="72">
        <f>'STATE TOTALS'!G81</f>
        <v>428270.3236344594</v>
      </c>
      <c r="D136" s="72">
        <f>'STATE TOTALS'!H81</f>
        <v>419813.46722304891</v>
      </c>
      <c r="E136" s="72">
        <f>'STATE TOTALS'!I81</f>
        <v>411356.61081163841</v>
      </c>
      <c r="F136" s="89"/>
      <c r="G136" s="72"/>
      <c r="H136" s="94"/>
    </row>
    <row r="137" spans="2:8" x14ac:dyDescent="0.25">
      <c r="B137" s="89" t="str">
        <f>'STATE TOTALS'!F82</f>
        <v xml:space="preserve">Renter </v>
      </c>
      <c r="C137" s="72">
        <f>'STATE TOTALS'!G82</f>
        <v>176225.74179393647</v>
      </c>
      <c r="D137" s="72">
        <f>'STATE TOTALS'!H82</f>
        <v>172611.51975971716</v>
      </c>
      <c r="E137" s="72">
        <f>'STATE TOTALS'!I82</f>
        <v>168997.29772549789</v>
      </c>
      <c r="F137" s="89"/>
      <c r="G137" s="72"/>
      <c r="H137" s="94"/>
    </row>
    <row r="138" spans="2:8" x14ac:dyDescent="0.25">
      <c r="B138" s="101" t="str">
        <f>'STATE TOTALS'!F83</f>
        <v>Total</v>
      </c>
      <c r="C138" s="102">
        <f>'STATE TOTALS'!G83</f>
        <v>604496.06542839587</v>
      </c>
      <c r="D138" s="102">
        <f>'STATE TOTALS'!H83</f>
        <v>592424.98698276607</v>
      </c>
      <c r="E138" s="72">
        <f>'STATE TOTALS'!I83</f>
        <v>580353.90853713627</v>
      </c>
      <c r="F138" s="89"/>
      <c r="G138" s="72"/>
      <c r="H138" s="94"/>
    </row>
    <row r="139" spans="2:8" x14ac:dyDescent="0.25">
      <c r="B139" s="95" t="s">
        <v>204</v>
      </c>
      <c r="C139" s="97"/>
      <c r="D139" s="97"/>
      <c r="E139" s="100"/>
      <c r="F139" s="99"/>
      <c r="G139" s="97"/>
      <c r="H139" s="100"/>
    </row>
    <row r="140" spans="2:8" x14ac:dyDescent="0.25">
      <c r="B140" s="88" t="str">
        <f>'STATE TOTALS'!F86</f>
        <v xml:space="preserve">Owner </v>
      </c>
      <c r="C140" s="73">
        <f>'STATE TOTALS'!G86</f>
        <v>52433.323634459404</v>
      </c>
      <c r="D140" s="73">
        <f>'STATE TOTALS'!H86</f>
        <v>43976.467223048909</v>
      </c>
      <c r="E140" s="72">
        <f>'STATE TOTALS'!I86</f>
        <v>35519.610811638413</v>
      </c>
      <c r="F140" s="88">
        <f t="shared" ref="F140:H142" si="20">C140/10</f>
        <v>5243.3323634459402</v>
      </c>
      <c r="G140" s="73">
        <f t="shared" si="20"/>
        <v>4397.6467223048912</v>
      </c>
      <c r="H140" s="87">
        <f t="shared" si="20"/>
        <v>3551.9610811638413</v>
      </c>
    </row>
    <row r="141" spans="2:8" x14ac:dyDescent="0.25">
      <c r="B141" s="89" t="str">
        <f>'STATE TOTALS'!F87</f>
        <v xml:space="preserve">Renter </v>
      </c>
      <c r="C141" s="72">
        <f>'STATE TOTALS'!G87</f>
        <v>12275.741793936468</v>
      </c>
      <c r="D141" s="72">
        <f>'STATE TOTALS'!H87</f>
        <v>8661.5197597171646</v>
      </c>
      <c r="E141" s="72">
        <f>'STATE TOTALS'!I87</f>
        <v>5047.2977254978905</v>
      </c>
      <c r="F141" s="89">
        <f t="shared" si="20"/>
        <v>1227.5741793936468</v>
      </c>
      <c r="G141" s="72">
        <f t="shared" si="20"/>
        <v>866.15197597171641</v>
      </c>
      <c r="H141" s="94">
        <f t="shared" si="20"/>
        <v>504.72977254978906</v>
      </c>
    </row>
    <row r="142" spans="2:8" x14ac:dyDescent="0.25">
      <c r="B142" s="101" t="str">
        <f>'STATE TOTALS'!F88</f>
        <v>Total</v>
      </c>
      <c r="C142" s="102">
        <f>'STATE TOTALS'!G88</f>
        <v>64709.065428395872</v>
      </c>
      <c r="D142" s="102">
        <f>'STATE TOTALS'!H88</f>
        <v>52637.986982766073</v>
      </c>
      <c r="E142" s="72">
        <f>'STATE TOTALS'!I88</f>
        <v>40566.908537136274</v>
      </c>
      <c r="F142" s="101">
        <f t="shared" si="20"/>
        <v>6470.906542839587</v>
      </c>
      <c r="G142" s="102">
        <f t="shared" si="20"/>
        <v>5263.798698276607</v>
      </c>
      <c r="H142" s="107">
        <f t="shared" si="20"/>
        <v>4056.6908537136273</v>
      </c>
    </row>
    <row r="143" spans="2:8" x14ac:dyDescent="0.25">
      <c r="B143" s="103" t="s">
        <v>66</v>
      </c>
      <c r="C143" s="97"/>
      <c r="D143" s="97"/>
      <c r="E143" s="100"/>
      <c r="F143" s="99"/>
      <c r="G143" s="97"/>
      <c r="H143" s="100"/>
    </row>
    <row r="144" spans="2:8" x14ac:dyDescent="0.25">
      <c r="B144" s="88" t="str">
        <f>'STATE TOTALS'!F90</f>
        <v xml:space="preserve">Owner </v>
      </c>
      <c r="C144" s="73">
        <f>'STATE TOTALS'!G90</f>
        <v>44204.534417790732</v>
      </c>
      <c r="D144" s="73">
        <f>'STATE TOTALS'!H90</f>
        <v>37074.881472066998</v>
      </c>
      <c r="E144" s="87">
        <f>'STATE TOTALS'!I90</f>
        <v>29945.22852634326</v>
      </c>
      <c r="F144" s="88">
        <f t="shared" ref="F144:H146" si="21">C144/10</f>
        <v>4420.4534417790728</v>
      </c>
      <c r="G144" s="73">
        <f t="shared" si="21"/>
        <v>3707.4881472067</v>
      </c>
      <c r="H144" s="87">
        <f t="shared" si="21"/>
        <v>2994.5228526343262</v>
      </c>
    </row>
    <row r="145" spans="2:8" x14ac:dyDescent="0.25">
      <c r="B145" s="89" t="str">
        <f>'STATE TOTALS'!F91</f>
        <v xml:space="preserve">Renter </v>
      </c>
      <c r="C145" s="72">
        <f>'STATE TOTALS'!G91</f>
        <v>10349.209491601809</v>
      </c>
      <c r="D145" s="72">
        <f>'STATE TOTALS'!H91</f>
        <v>7302.1968051852155</v>
      </c>
      <c r="E145" s="94">
        <f>'STATE TOTALS'!I91</f>
        <v>4255.1841187686468</v>
      </c>
      <c r="F145" s="89">
        <f t="shared" si="21"/>
        <v>1034.920949160181</v>
      </c>
      <c r="G145" s="72">
        <f t="shared" si="21"/>
        <v>730.2196805185215</v>
      </c>
      <c r="H145" s="94">
        <f t="shared" si="21"/>
        <v>425.51841187686466</v>
      </c>
    </row>
    <row r="146" spans="2:8" x14ac:dyDescent="0.25">
      <c r="B146" s="101" t="str">
        <f>'STATE TOTALS'!F92</f>
        <v>Total</v>
      </c>
      <c r="C146" s="102">
        <f>'STATE TOTALS'!G92</f>
        <v>54553.743909392542</v>
      </c>
      <c r="D146" s="102">
        <f>'STATE TOTALS'!H92</f>
        <v>44377.078277252214</v>
      </c>
      <c r="E146" s="107">
        <f>'STATE TOTALS'!I92</f>
        <v>34200.412645111879</v>
      </c>
      <c r="F146" s="101">
        <f t="shared" si="21"/>
        <v>5455.3743909392542</v>
      </c>
      <c r="G146" s="102">
        <f t="shared" si="21"/>
        <v>4437.7078277252213</v>
      </c>
      <c r="H146" s="107">
        <f t="shared" si="21"/>
        <v>3420.0412645111878</v>
      </c>
    </row>
    <row r="150" spans="2:8" x14ac:dyDescent="0.25">
      <c r="B150" s="66" t="str">
        <f>+B4</f>
        <v>BELKNAP COUNTY</v>
      </c>
      <c r="D150" s="66" t="s">
        <v>279</v>
      </c>
      <c r="F150" s="66">
        <f>+F12</f>
        <v>172.09919302967828</v>
      </c>
      <c r="G150" s="66">
        <f>+G12</f>
        <v>151.18981419160701</v>
      </c>
      <c r="H150" s="66">
        <f>+H12</f>
        <v>130.28043535353535</v>
      </c>
    </row>
    <row r="151" spans="2:8" x14ac:dyDescent="0.25">
      <c r="B151" s="66" t="str">
        <f>+B17</f>
        <v>CARROLL COUNTY</v>
      </c>
      <c r="D151" s="66" t="s">
        <v>280</v>
      </c>
      <c r="F151" s="66">
        <f>+F25</f>
        <v>247.11066982547999</v>
      </c>
      <c r="G151" s="66">
        <f>+G25</f>
        <v>202.7397133064951</v>
      </c>
      <c r="H151" s="66">
        <f>+H25</f>
        <v>158.36875678751056</v>
      </c>
    </row>
    <row r="152" spans="2:8" x14ac:dyDescent="0.25">
      <c r="B152" s="66" t="str">
        <f>+B30</f>
        <v>CHESHIRE COUNTY</v>
      </c>
      <c r="D152" s="66" t="s">
        <v>281</v>
      </c>
      <c r="F152" s="66">
        <f>+F38</f>
        <v>291.4349573132655</v>
      </c>
      <c r="G152" s="66">
        <f>+G38</f>
        <v>219.14538664944411</v>
      </c>
      <c r="H152" s="66">
        <f>+H38</f>
        <v>146.85581598562348</v>
      </c>
    </row>
    <row r="153" spans="2:8" x14ac:dyDescent="0.25">
      <c r="B153" s="66" t="str">
        <f>+B43</f>
        <v>COOS COUNTY</v>
      </c>
      <c r="D153" s="66" t="s">
        <v>282</v>
      </c>
      <c r="F153" s="66">
        <f>+F51</f>
        <v>21.264243597732637</v>
      </c>
      <c r="G153" s="66">
        <f>+G51</f>
        <v>-9.9835642915262728</v>
      </c>
      <c r="H153" s="66">
        <f>+H51</f>
        <v>-41.231372180785186</v>
      </c>
    </row>
    <row r="154" spans="2:8" x14ac:dyDescent="0.25">
      <c r="B154" s="66" t="str">
        <f>+B56</f>
        <v>GRAFTON COUNTY</v>
      </c>
      <c r="D154" s="66" t="s">
        <v>283</v>
      </c>
      <c r="F154" s="66">
        <f>+F64</f>
        <v>648.29192496531027</v>
      </c>
      <c r="G154" s="66">
        <f>+G64</f>
        <v>421.38198703823946</v>
      </c>
      <c r="H154" s="66">
        <f>+H64</f>
        <v>194.47204911116859</v>
      </c>
    </row>
    <row r="155" spans="2:8" x14ac:dyDescent="0.25">
      <c r="B155" s="66" t="str">
        <f>+B69</f>
        <v>HILLSBOROUGH COUNTY</v>
      </c>
      <c r="D155" s="66" t="s">
        <v>284</v>
      </c>
      <c r="F155" s="66">
        <f>+F77</f>
        <v>1477.1644564136659</v>
      </c>
      <c r="G155" s="66">
        <f>+G77</f>
        <v>1383.0570487180898</v>
      </c>
      <c r="H155" s="66">
        <f>+H77</f>
        <v>1288.949641022514</v>
      </c>
    </row>
    <row r="156" spans="2:8" x14ac:dyDescent="0.25">
      <c r="B156" s="66" t="str">
        <f>+B82</f>
        <v>MERRIMACK COUNTY</v>
      </c>
      <c r="D156" s="66" t="s">
        <v>285</v>
      </c>
      <c r="F156" s="66">
        <f>+F90</f>
        <v>1060.7457473888121</v>
      </c>
      <c r="G156" s="66">
        <f>+G90</f>
        <v>753.57009187622464</v>
      </c>
      <c r="H156" s="66">
        <f>+H90</f>
        <v>446.39443636363649</v>
      </c>
    </row>
    <row r="157" spans="2:8" x14ac:dyDescent="0.25">
      <c r="B157" s="66" t="str">
        <f>+B95</f>
        <v>ROCKINGHAM COUNTY</v>
      </c>
      <c r="D157" s="66" t="s">
        <v>286</v>
      </c>
      <c r="F157" s="66">
        <f>+F103</f>
        <v>2084.9068296887272</v>
      </c>
      <c r="G157" s="66">
        <f>+G103</f>
        <v>1652.2772691238642</v>
      </c>
      <c r="H157" s="66">
        <f>+H103</f>
        <v>1219.6477085590013</v>
      </c>
    </row>
    <row r="158" spans="2:8" x14ac:dyDescent="0.25">
      <c r="B158" s="66" t="str">
        <f>+B108</f>
        <v>STRAFFORD COUNTY</v>
      </c>
      <c r="D158" s="66" t="s">
        <v>287</v>
      </c>
      <c r="F158" s="66">
        <f>+F116</f>
        <v>426.19989985888242</v>
      </c>
      <c r="G158" s="66">
        <f>+G116</f>
        <v>396.97451606187826</v>
      </c>
      <c r="H158" s="66">
        <f>+H116</f>
        <v>367.74913226487405</v>
      </c>
    </row>
    <row r="159" spans="2:8" x14ac:dyDescent="0.25">
      <c r="B159" s="66" t="str">
        <f>+B121</f>
        <v>SULLIVAN COUNTY</v>
      </c>
      <c r="D159" s="66" t="s">
        <v>288</v>
      </c>
      <c r="F159" s="66">
        <f>+F129</f>
        <v>41.688620758034446</v>
      </c>
      <c r="G159" s="66">
        <f>+G129</f>
        <v>93.446435602293064</v>
      </c>
      <c r="H159" s="66">
        <f>+H129</f>
        <v>145.20425044655204</v>
      </c>
    </row>
    <row r="160" spans="2:8" x14ac:dyDescent="0.25">
      <c r="F160" s="66">
        <f>SUM(F150:F159)</f>
        <v>6470.9065428395888</v>
      </c>
      <c r="G160" s="66">
        <f>SUM(G150:G159)</f>
        <v>5263.7986982766088</v>
      </c>
      <c r="H160" s="66">
        <f>SUM(H150:H159)</f>
        <v>4056.6908537136305</v>
      </c>
    </row>
  </sheetData>
  <mergeCells count="2">
    <mergeCell ref="F2:H2"/>
    <mergeCell ref="B3:E3"/>
  </mergeCells>
  <phoneticPr fontId="0" type="noConversion"/>
  <printOptions horizontalCentered="1" verticalCentered="1"/>
  <pageMargins left="0.75" right="0.75" top="1" bottom="1" header="0.5" footer="0.5"/>
  <pageSetup scale="74" orientation="portrait" horizontalDpi="4294967293" verticalDpi="300" r:id="rId1"/>
  <headerFooter alignWithMargins="0">
    <oddHeader>&amp;F</oddHeader>
    <oddFooter>&amp;LNHCPPS&amp;CPage &amp;P of &amp;N&amp;R&amp;D</oddFooter>
  </headerFooter>
  <rowBreaks count="3" manualBreakCount="3">
    <brk id="42" max="16383" man="1"/>
    <brk id="81" max="16383" man="1"/>
    <brk id="1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3"/>
  <sheetViews>
    <sheetView zoomScaleNormal="100" workbookViewId="0">
      <selection activeCell="H150" sqref="H150:H160"/>
    </sheetView>
  </sheetViews>
  <sheetFormatPr defaultRowHeight="15" x14ac:dyDescent="0.25"/>
  <cols>
    <col min="1" max="1" width="9.140625" style="1"/>
    <col min="2" max="2" width="37.7109375" style="1" customWidth="1"/>
    <col min="3" max="6" width="15.7109375" style="1" customWidth="1"/>
    <col min="7" max="16384" width="9.140625" style="1"/>
  </cols>
  <sheetData>
    <row r="1" spans="2:8" x14ac:dyDescent="0.25">
      <c r="C1" s="224" t="s">
        <v>227</v>
      </c>
    </row>
    <row r="3" spans="2:8" x14ac:dyDescent="0.25">
      <c r="B3" s="237" t="s">
        <v>139</v>
      </c>
      <c r="C3" s="238"/>
      <c r="D3" s="238"/>
      <c r="E3" s="239"/>
    </row>
    <row r="4" spans="2:8" x14ac:dyDescent="0.25">
      <c r="B4" s="240"/>
      <c r="C4" s="241"/>
      <c r="D4" s="241"/>
      <c r="E4" s="242"/>
      <c r="H4" s="12"/>
    </row>
    <row r="5" spans="2:8" x14ac:dyDescent="0.25">
      <c r="B5" s="120"/>
      <c r="C5" s="121">
        <v>1</v>
      </c>
      <c r="D5" s="121">
        <v>2</v>
      </c>
      <c r="E5" s="121">
        <v>3</v>
      </c>
      <c r="H5" s="11"/>
    </row>
    <row r="6" spans="2:8" ht="45" x14ac:dyDescent="0.25">
      <c r="B6" s="122" t="s">
        <v>72</v>
      </c>
      <c r="C6" s="123" t="s">
        <v>138</v>
      </c>
      <c r="D6" s="123" t="s">
        <v>211</v>
      </c>
      <c r="E6" s="123" t="s">
        <v>76</v>
      </c>
      <c r="H6" s="19"/>
    </row>
    <row r="7" spans="2:8" x14ac:dyDescent="0.25">
      <c r="B7" s="124" t="s">
        <v>69</v>
      </c>
      <c r="C7" s="125"/>
      <c r="D7" s="125"/>
      <c r="E7" s="125"/>
      <c r="H7" s="12"/>
    </row>
    <row r="8" spans="2:8" x14ac:dyDescent="0.25">
      <c r="B8" s="126" t="s">
        <v>71</v>
      </c>
      <c r="C8" s="127">
        <f>('STATE TOTALS'!G56-'STATE TOTALS'!$E$56)/10</f>
        <v>5418.3305878114825</v>
      </c>
      <c r="D8" s="127">
        <f>('STATE TOTALS'!H56-'STATE TOTALS'!$E$56)/10</f>
        <v>4581.1018030818432</v>
      </c>
      <c r="E8" s="127">
        <f>('STATE TOTALS'!I56-'STATE TOTALS'!$E$56)/10</f>
        <v>3743.8730183522043</v>
      </c>
      <c r="H8" s="5"/>
    </row>
    <row r="9" spans="2:8" x14ac:dyDescent="0.25">
      <c r="B9" s="126" t="s">
        <v>74</v>
      </c>
      <c r="C9" s="127">
        <f>('STATE TOTALS'!G62-'STATE TOTALS'!$E$62)/10</f>
        <v>-325.3330243655397</v>
      </c>
      <c r="D9" s="127">
        <f>('STATE TOTALS'!H62-'STATE TOTALS'!$E$62)/10</f>
        <v>-333.78988077695141</v>
      </c>
      <c r="E9" s="127">
        <f>('STATE TOTALS'!I62-'STATE TOTALS'!$E$62)/10</f>
        <v>-342.24673718836129</v>
      </c>
      <c r="H9" s="5"/>
    </row>
    <row r="10" spans="2:8" x14ac:dyDescent="0.25">
      <c r="B10" s="126" t="s">
        <v>75</v>
      </c>
      <c r="C10" s="127">
        <f>'STATE TOTALS'!G75/10</f>
        <v>150.3348</v>
      </c>
      <c r="D10" s="127">
        <f>'STATE TOTALS'!H75/10</f>
        <v>150.3348</v>
      </c>
      <c r="E10" s="127">
        <f>'STATE TOTALS'!I75/10</f>
        <v>150.3348</v>
      </c>
      <c r="H10" s="5"/>
    </row>
    <row r="11" spans="2:8" x14ac:dyDescent="0.25">
      <c r="B11" s="128" t="s">
        <v>140</v>
      </c>
      <c r="C11" s="129">
        <f>SUM(C8:C10)</f>
        <v>5243.3323634459421</v>
      </c>
      <c r="D11" s="129">
        <f>SUM(D8:D10)</f>
        <v>4397.6467223048912</v>
      </c>
      <c r="E11" s="129">
        <f>SUM(E8:E10)</f>
        <v>3551.9610811638431</v>
      </c>
      <c r="H11" s="187"/>
    </row>
    <row r="12" spans="2:8" x14ac:dyDescent="0.25">
      <c r="B12" s="130" t="s">
        <v>67</v>
      </c>
      <c r="C12" s="131">
        <f>C9/C11</f>
        <v>-6.2046996416555471E-2</v>
      </c>
      <c r="D12" s="131">
        <f>D9/D11</f>
        <v>-7.5901931613553006E-2</v>
      </c>
      <c r="E12" s="131">
        <f>E9/E11</f>
        <v>-9.6354303824809931E-2</v>
      </c>
      <c r="H12" s="13"/>
    </row>
    <row r="13" spans="2:8" x14ac:dyDescent="0.25">
      <c r="B13" s="120"/>
      <c r="C13" s="125"/>
      <c r="D13" s="125"/>
      <c r="E13" s="125"/>
      <c r="H13" s="12"/>
    </row>
    <row r="14" spans="2:8" x14ac:dyDescent="0.25">
      <c r="B14" s="132" t="s">
        <v>70</v>
      </c>
      <c r="C14" s="133"/>
      <c r="D14" s="133"/>
      <c r="E14" s="133"/>
      <c r="H14" s="12"/>
    </row>
    <row r="15" spans="2:8" x14ac:dyDescent="0.25">
      <c r="B15" s="126" t="s">
        <v>71</v>
      </c>
      <c r="C15" s="127">
        <f>('STATE TOTALS'!G57-'STATE TOTALS'!$E$57)/10</f>
        <v>1726.0576122178986</v>
      </c>
      <c r="D15" s="127">
        <f>('STATE TOTALS'!H57-'STATE TOTALS'!$E$57)/10</f>
        <v>1379.0922969328471</v>
      </c>
      <c r="E15" s="127">
        <f>('STATE TOTALS'!I57-'STATE TOTALS'!$E$57)/10</f>
        <v>1032.1269816477957</v>
      </c>
      <c r="H15" s="5"/>
    </row>
    <row r="16" spans="2:8" x14ac:dyDescent="0.25">
      <c r="B16" s="126" t="s">
        <v>74</v>
      </c>
      <c r="C16" s="127">
        <f>('STATE TOTALS'!G63-'STATE TOTALS'!$E$63)/10</f>
        <v>-629.64343282425375</v>
      </c>
      <c r="D16" s="127">
        <f>('STATE TOTALS'!H63-'STATE TOTALS'!$E$63)/10</f>
        <v>-644.10032096113025</v>
      </c>
      <c r="E16" s="127">
        <f>('STATE TOTALS'!I63-'STATE TOTALS'!$E$63)/10</f>
        <v>-658.55720909800777</v>
      </c>
      <c r="H16" s="5"/>
    </row>
    <row r="17" spans="2:8" x14ac:dyDescent="0.25">
      <c r="B17" s="126" t="s">
        <v>75</v>
      </c>
      <c r="C17" s="127">
        <f>'STATE TOTALS'!G76/10</f>
        <v>131.16000000000003</v>
      </c>
      <c r="D17" s="127">
        <f>'STATE TOTALS'!H76/10</f>
        <v>131.16000000000003</v>
      </c>
      <c r="E17" s="127">
        <f>'STATE TOTALS'!I76/10</f>
        <v>131.16000000000003</v>
      </c>
      <c r="H17" s="5"/>
    </row>
    <row r="18" spans="2:8" x14ac:dyDescent="0.25">
      <c r="B18" s="128" t="s">
        <v>140</v>
      </c>
      <c r="C18" s="129">
        <f>SUM(C15:C17)</f>
        <v>1227.574179393645</v>
      </c>
      <c r="D18" s="129">
        <f>SUM(D15:D17)</f>
        <v>866.15197597171687</v>
      </c>
      <c r="E18" s="129">
        <f>SUM(E15:E17)</f>
        <v>504.72977254978792</v>
      </c>
      <c r="H18" s="5"/>
    </row>
    <row r="19" spans="2:8" x14ac:dyDescent="0.25">
      <c r="B19" s="130" t="s">
        <v>67</v>
      </c>
      <c r="C19" s="131">
        <f>C16/C18</f>
        <v>-0.5129168105631412</v>
      </c>
      <c r="D19" s="131">
        <f>D16/D18</f>
        <v>-0.74363430302000788</v>
      </c>
      <c r="E19" s="131">
        <f>E16/E18</f>
        <v>-1.3047718698485256</v>
      </c>
      <c r="H19" s="13"/>
    </row>
    <row r="20" spans="2:8" x14ac:dyDescent="0.25">
      <c r="B20" s="120"/>
      <c r="C20" s="125"/>
      <c r="D20" s="125"/>
      <c r="E20" s="125"/>
      <c r="H20" s="12"/>
    </row>
    <row r="21" spans="2:8" x14ac:dyDescent="0.25">
      <c r="B21" s="132" t="s">
        <v>73</v>
      </c>
      <c r="C21" s="133"/>
      <c r="D21" s="133"/>
      <c r="E21" s="133"/>
      <c r="H21" s="12"/>
    </row>
    <row r="22" spans="2:8" x14ac:dyDescent="0.25">
      <c r="B22" s="126" t="s">
        <v>71</v>
      </c>
      <c r="C22" s="127">
        <f t="shared" ref="C22:E24" si="0">C8+C15</f>
        <v>7144.3882000293816</v>
      </c>
      <c r="D22" s="127">
        <f t="shared" si="0"/>
        <v>5960.1941000146908</v>
      </c>
      <c r="E22" s="127">
        <f t="shared" si="0"/>
        <v>4776</v>
      </c>
      <c r="H22" s="5"/>
    </row>
    <row r="23" spans="2:8" x14ac:dyDescent="0.25">
      <c r="B23" s="126" t="s">
        <v>74</v>
      </c>
      <c r="C23" s="127">
        <f t="shared" si="0"/>
        <v>-954.97645718979345</v>
      </c>
      <c r="D23" s="127">
        <f t="shared" si="0"/>
        <v>-977.89020173808171</v>
      </c>
      <c r="E23" s="127">
        <f t="shared" si="0"/>
        <v>-1000.8039462863691</v>
      </c>
      <c r="H23" s="5"/>
    </row>
    <row r="24" spans="2:8" x14ac:dyDescent="0.25">
      <c r="B24" s="126" t="s">
        <v>75</v>
      </c>
      <c r="C24" s="127">
        <f t="shared" si="0"/>
        <v>281.49480000000005</v>
      </c>
      <c r="D24" s="127">
        <f t="shared" si="0"/>
        <v>281.49480000000005</v>
      </c>
      <c r="E24" s="127">
        <f t="shared" si="0"/>
        <v>281.49480000000005</v>
      </c>
      <c r="H24" s="5"/>
    </row>
    <row r="25" spans="2:8" x14ac:dyDescent="0.25">
      <c r="B25" s="225" t="s">
        <v>140</v>
      </c>
      <c r="C25" s="226">
        <f>SUM(C22:C24)</f>
        <v>6470.9065428395888</v>
      </c>
      <c r="D25" s="226">
        <f>SUM(D22:D24)</f>
        <v>5263.7986982766097</v>
      </c>
      <c r="E25" s="226">
        <f>SUM(E22:E24)</f>
        <v>4056.690853713631</v>
      </c>
      <c r="F25" s="2"/>
      <c r="H25" s="5"/>
    </row>
    <row r="26" spans="2:8" x14ac:dyDescent="0.25">
      <c r="B26" s="130" t="s">
        <v>68</v>
      </c>
      <c r="C26" s="131">
        <f>C23/C25</f>
        <v>-0.14758001075545235</v>
      </c>
      <c r="D26" s="131">
        <f>D23/D25</f>
        <v>-0.18577651954248312</v>
      </c>
      <c r="E26" s="131">
        <f>E23/E25</f>
        <v>-0.24670451419047609</v>
      </c>
      <c r="H26" s="13"/>
    </row>
    <row r="27" spans="2:8" x14ac:dyDescent="0.25">
      <c r="B27" s="30"/>
      <c r="C27" s="30"/>
      <c r="D27" s="30"/>
      <c r="E27" s="30"/>
      <c r="H27" s="12"/>
    </row>
    <row r="28" spans="2:8" x14ac:dyDescent="0.25">
      <c r="B28" s="63" t="s">
        <v>141</v>
      </c>
      <c r="C28" s="30"/>
      <c r="D28" s="30"/>
      <c r="E28" s="30"/>
      <c r="H28" s="12"/>
    </row>
    <row r="29" spans="2:8" x14ac:dyDescent="0.25">
      <c r="B29" s="63" t="s">
        <v>142</v>
      </c>
      <c r="C29" s="30"/>
      <c r="D29" s="30"/>
      <c r="E29" s="30"/>
      <c r="H29" s="12"/>
    </row>
    <row r="30" spans="2:8" x14ac:dyDescent="0.25">
      <c r="H30" s="12"/>
    </row>
    <row r="31" spans="2:8" x14ac:dyDescent="0.25">
      <c r="H31" s="12"/>
    </row>
    <row r="32" spans="2:8" x14ac:dyDescent="0.25">
      <c r="H32" s="12"/>
    </row>
    <row r="33" spans="8:8" x14ac:dyDescent="0.25">
      <c r="H33" s="12"/>
    </row>
    <row r="34" spans="8:8" x14ac:dyDescent="0.25">
      <c r="H34" s="12"/>
    </row>
    <row r="35" spans="8:8" x14ac:dyDescent="0.25">
      <c r="H35" s="12"/>
    </row>
    <row r="36" spans="8:8" x14ac:dyDescent="0.25">
      <c r="H36" s="12"/>
    </row>
    <row r="37" spans="8:8" x14ac:dyDescent="0.25">
      <c r="H37" s="12"/>
    </row>
    <row r="38" spans="8:8" x14ac:dyDescent="0.25">
      <c r="H38" s="12"/>
    </row>
    <row r="39" spans="8:8" x14ac:dyDescent="0.25">
      <c r="H39" s="12"/>
    </row>
    <row r="40" spans="8:8" x14ac:dyDescent="0.25">
      <c r="H40" s="12"/>
    </row>
    <row r="41" spans="8:8" x14ac:dyDescent="0.25">
      <c r="H41" s="12"/>
    </row>
    <row r="42" spans="8:8" x14ac:dyDescent="0.25">
      <c r="H42" s="12"/>
    </row>
    <row r="43" spans="8:8" x14ac:dyDescent="0.25">
      <c r="H43" s="12"/>
    </row>
    <row r="44" spans="8:8" x14ac:dyDescent="0.25">
      <c r="H44" s="12"/>
    </row>
    <row r="45" spans="8:8" x14ac:dyDescent="0.25">
      <c r="H45" s="12"/>
    </row>
    <row r="46" spans="8:8" x14ac:dyDescent="0.25">
      <c r="H46" s="12"/>
    </row>
    <row r="47" spans="8:8" x14ac:dyDescent="0.25">
      <c r="H47" s="12"/>
    </row>
    <row r="48" spans="8:8" x14ac:dyDescent="0.25">
      <c r="H48" s="12"/>
    </row>
    <row r="49" spans="8:8" x14ac:dyDescent="0.25">
      <c r="H49" s="12"/>
    </row>
    <row r="50" spans="8:8" x14ac:dyDescent="0.25">
      <c r="H50" s="12"/>
    </row>
    <row r="51" spans="8:8" x14ac:dyDescent="0.25">
      <c r="H51" s="12"/>
    </row>
    <row r="52" spans="8:8" x14ac:dyDescent="0.25">
      <c r="H52" s="12"/>
    </row>
    <row r="53" spans="8:8" x14ac:dyDescent="0.25">
      <c r="H53" s="12"/>
    </row>
    <row r="54" spans="8:8" x14ac:dyDescent="0.25">
      <c r="H54" s="12"/>
    </row>
    <row r="55" spans="8:8" x14ac:dyDescent="0.25">
      <c r="H55" s="12"/>
    </row>
    <row r="56" spans="8:8" x14ac:dyDescent="0.25">
      <c r="H56" s="12"/>
    </row>
    <row r="57" spans="8:8" x14ac:dyDescent="0.25">
      <c r="H57" s="12"/>
    </row>
    <row r="58" spans="8:8" x14ac:dyDescent="0.25">
      <c r="H58" s="12"/>
    </row>
    <row r="59" spans="8:8" x14ac:dyDescent="0.25">
      <c r="H59" s="12"/>
    </row>
    <row r="60" spans="8:8" x14ac:dyDescent="0.25">
      <c r="H60" s="12"/>
    </row>
    <row r="61" spans="8:8" x14ac:dyDescent="0.25">
      <c r="H61" s="12"/>
    </row>
    <row r="62" spans="8:8" x14ac:dyDescent="0.25">
      <c r="H62" s="12"/>
    </row>
    <row r="63" spans="8:8" x14ac:dyDescent="0.25">
      <c r="H63" s="12"/>
    </row>
    <row r="64" spans="8:8" x14ac:dyDescent="0.25">
      <c r="H64" s="12"/>
    </row>
    <row r="65" spans="8:8" x14ac:dyDescent="0.25">
      <c r="H65" s="12"/>
    </row>
    <row r="66" spans="8:8" x14ac:dyDescent="0.25">
      <c r="H66" s="12"/>
    </row>
    <row r="67" spans="8:8" x14ac:dyDescent="0.25">
      <c r="H67" s="12"/>
    </row>
    <row r="68" spans="8:8" x14ac:dyDescent="0.25">
      <c r="H68" s="12"/>
    </row>
    <row r="69" spans="8:8" x14ac:dyDescent="0.25">
      <c r="H69" s="12"/>
    </row>
    <row r="70" spans="8:8" x14ac:dyDescent="0.25">
      <c r="H70" s="12"/>
    </row>
    <row r="71" spans="8:8" x14ac:dyDescent="0.25">
      <c r="H71" s="12"/>
    </row>
    <row r="72" spans="8:8" x14ac:dyDescent="0.25">
      <c r="H72" s="12"/>
    </row>
    <row r="73" spans="8:8" x14ac:dyDescent="0.25">
      <c r="H73" s="12"/>
    </row>
    <row r="74" spans="8:8" x14ac:dyDescent="0.25">
      <c r="H74" s="12"/>
    </row>
    <row r="75" spans="8:8" x14ac:dyDescent="0.25">
      <c r="H75" s="12"/>
    </row>
    <row r="76" spans="8:8" x14ac:dyDescent="0.25">
      <c r="H76" s="12"/>
    </row>
    <row r="77" spans="8:8" x14ac:dyDescent="0.25">
      <c r="H77" s="12"/>
    </row>
    <row r="78" spans="8:8" x14ac:dyDescent="0.25">
      <c r="H78" s="12"/>
    </row>
    <row r="79" spans="8:8" x14ac:dyDescent="0.25">
      <c r="H79" s="12"/>
    </row>
    <row r="80" spans="8:8" x14ac:dyDescent="0.25">
      <c r="H80" s="12"/>
    </row>
    <row r="81" spans="8:8" x14ac:dyDescent="0.25">
      <c r="H81" s="12"/>
    </row>
    <row r="82" spans="8:8" x14ac:dyDescent="0.25">
      <c r="H82" s="12"/>
    </row>
    <row r="83" spans="8:8" x14ac:dyDescent="0.25">
      <c r="H83" s="12"/>
    </row>
  </sheetData>
  <mergeCells count="1">
    <mergeCell ref="B3:E4"/>
  </mergeCells>
  <phoneticPr fontId="0" type="noConversion"/>
  <printOptions horizontalCentered="1" verticalCentered="1"/>
  <pageMargins left="0.75" right="0.75" top="1" bottom="1" header="0.5" footer="0.5"/>
  <pageSetup scale="80" orientation="portrait" horizontalDpi="4294967293" verticalDpi="300" r:id="rId1"/>
  <headerFooter alignWithMargins="0">
    <oddHeader>&amp;F</oddHeader>
    <oddFooter>&amp;CPrepared by NHCPPS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6"/>
  <sheetViews>
    <sheetView zoomScaleNormal="100" workbookViewId="0">
      <selection activeCell="H150" sqref="H150:H160"/>
    </sheetView>
  </sheetViews>
  <sheetFormatPr defaultRowHeight="15" x14ac:dyDescent="0.25"/>
  <cols>
    <col min="1" max="1" width="55.7109375" customWidth="1"/>
    <col min="2" max="4" width="11.7109375" customWidth="1"/>
    <col min="5" max="6" width="11.7109375" style="147" customWidth="1"/>
    <col min="7" max="8" width="15.7109375" style="1" customWidth="1"/>
    <col min="9" max="9" width="17.7109375" style="1" customWidth="1"/>
    <col min="10" max="10" width="9.140625" style="1"/>
    <col min="11" max="14" width="10.7109375" customWidth="1"/>
  </cols>
  <sheetData>
    <row r="1" spans="1:22" ht="78.75" x14ac:dyDescent="0.25">
      <c r="A1" s="65" t="s">
        <v>131</v>
      </c>
      <c r="B1" s="172">
        <v>1990</v>
      </c>
      <c r="C1" s="172">
        <v>2000</v>
      </c>
      <c r="D1" s="138" t="s">
        <v>80</v>
      </c>
      <c r="E1" s="137">
        <v>2010</v>
      </c>
      <c r="F1" s="138" t="s">
        <v>182</v>
      </c>
      <c r="G1" s="137" t="s">
        <v>183</v>
      </c>
      <c r="H1" s="137" t="s">
        <v>213</v>
      </c>
      <c r="I1" s="173" t="s">
        <v>184</v>
      </c>
    </row>
    <row r="2" spans="1:22" x14ac:dyDescent="0.25">
      <c r="A2" s="31" t="s">
        <v>28</v>
      </c>
      <c r="B2" s="32">
        <f>BELKNAP!B2+CARROLL!B2+CHESHIRE!B2+COOS!B2+GRAFTON!B2+HILLSBOROUGH!B2+MERRIMACK!B2+ROCKINGHAM!B2+STRAFFORD!B2+SULLIVAN!B2+14571</f>
        <v>430001</v>
      </c>
      <c r="C2" s="32">
        <f>BELKNAP!C2+CARROLL!C2+CHESHIRE!C2+COOS!C2+GRAFTON!C2+HILLSBOROUGH!C2+MERRIMACK!C2+ROCKINGHAM!C2+STRAFFORD!C2+SULLIVAN!C2+14631</f>
        <v>529504</v>
      </c>
      <c r="D2" s="32">
        <f>C2-B2</f>
        <v>99503</v>
      </c>
      <c r="E2" s="139">
        <f>BELKNAP!E2+CARROLL!E2+CHESHIRE!E2+COOS!E2+GRAFTON!E2+HILLSBOROUGH!E2+MERRIMACK!E2+ROCKINGHAM!E2+STRAFFORD!E2+SULLIVAN!E2+14494</f>
        <v>513385</v>
      </c>
      <c r="F2" s="40">
        <f>E2-C2</f>
        <v>-16119</v>
      </c>
      <c r="G2" s="243" t="s">
        <v>157</v>
      </c>
      <c r="H2" s="244"/>
      <c r="I2" s="135"/>
      <c r="J2" s="148"/>
      <c r="K2" s="163"/>
      <c r="L2" s="163"/>
      <c r="M2" s="147"/>
      <c r="N2" s="147"/>
      <c r="O2" s="147"/>
      <c r="P2" s="147"/>
      <c r="Q2" s="147"/>
      <c r="T2" s="3"/>
      <c r="U2" s="3"/>
      <c r="V2" s="3"/>
    </row>
    <row r="3" spans="1:22" x14ac:dyDescent="0.25">
      <c r="A3" s="31"/>
      <c r="B3" s="32"/>
      <c r="C3" s="32"/>
      <c r="D3" s="32"/>
      <c r="E3" s="188"/>
      <c r="F3" s="40"/>
      <c r="G3" s="245"/>
      <c r="H3" s="246"/>
      <c r="I3" s="135"/>
      <c r="J3" s="148"/>
      <c r="K3" s="163"/>
      <c r="L3" s="163"/>
      <c r="M3" s="147"/>
      <c r="N3" s="147"/>
      <c r="O3" s="147"/>
      <c r="P3" s="147"/>
      <c r="Q3" s="147"/>
      <c r="T3" s="3"/>
      <c r="U3" s="3"/>
      <c r="V3" s="3"/>
    </row>
    <row r="4" spans="1:22" x14ac:dyDescent="0.25">
      <c r="A4" s="37" t="s">
        <v>29</v>
      </c>
      <c r="B4" s="32">
        <f>BELKNAP!B4+CARROLL!B4+CHESHIRE!B4+COOS!B4+GRAFTON!B4+HILLSBOROUGH!B4+MERRIMACK!B4+ROCKINGHAM!B4+STRAFFORD!B4+SULLIVAN!B4</f>
        <v>65431</v>
      </c>
      <c r="C4" s="32">
        <f>BELKNAP!C4+CARROLL!C4+CHESHIRE!C4+COOS!C4+GRAFTON!C4+HILLSBOROUGH!C4+MERRIMACK!C4+ROCKINGHAM!C4+STRAFFORD!C4+SULLIVAN!C4</f>
        <v>76377</v>
      </c>
      <c r="D4" s="32">
        <f>C4-B4</f>
        <v>10946</v>
      </c>
      <c r="E4" s="139">
        <f>BELKNAP!E4+CARROLL!E4+CHESHIRE!E4+COOS!E4+GRAFTON!E4+HILLSBOROUGH!E4+MERRIMACK!E4+ROCKINGHAM!E4+STRAFFORD!E4+SULLIVAN!E4</f>
        <v>87069</v>
      </c>
      <c r="F4" s="40">
        <f>E4-C4</f>
        <v>10692</v>
      </c>
      <c r="G4" s="136">
        <f>+(G5/E5)^(0.1)-1</f>
        <v>9.598835601188016E-3</v>
      </c>
      <c r="H4" s="136">
        <v>0.01</v>
      </c>
      <c r="I4" s="135" t="s">
        <v>133</v>
      </c>
      <c r="J4" s="153"/>
      <c r="K4" s="163"/>
      <c r="L4" s="163"/>
      <c r="M4" s="147"/>
      <c r="N4" s="147"/>
      <c r="O4" s="147"/>
      <c r="P4" s="147"/>
      <c r="Q4" s="147"/>
      <c r="T4" s="3"/>
      <c r="U4" s="3"/>
      <c r="V4" s="3"/>
    </row>
    <row r="5" spans="1:22" x14ac:dyDescent="0.25">
      <c r="A5" s="37" t="s">
        <v>30</v>
      </c>
      <c r="B5" s="139">
        <f>B2+B4</f>
        <v>495432</v>
      </c>
      <c r="C5" s="139">
        <f>C2+C4</f>
        <v>605881</v>
      </c>
      <c r="D5" s="40">
        <f>C5-B5</f>
        <v>110449</v>
      </c>
      <c r="E5" s="139">
        <f>E2+E4</f>
        <v>600454</v>
      </c>
      <c r="F5" s="40">
        <f>E5-C5</f>
        <v>-5427</v>
      </c>
      <c r="G5" s="139">
        <f>BELKNAP!G5+CARROLL!G5+CHESHIRE!G5+COOS!G5+GRAFTON!G5+HILLSBOROUGH!G5+MERRIMACK!G5+ROCKINGHAM!G5+STRAFFORD!G5+SULLIVAN!G5</f>
        <v>660645</v>
      </c>
      <c r="H5" s="134">
        <f>E5+((10*H4)*E5)</f>
        <v>660499.4</v>
      </c>
      <c r="I5" s="37"/>
      <c r="J5" s="153"/>
      <c r="K5" s="163"/>
      <c r="L5" s="163"/>
      <c r="M5" s="147"/>
      <c r="N5" s="147"/>
      <c r="O5" s="147"/>
      <c r="P5" s="147"/>
      <c r="Q5" s="147"/>
      <c r="T5" s="3"/>
      <c r="U5" s="3"/>
      <c r="V5" s="3"/>
    </row>
    <row r="6" spans="1:22" x14ac:dyDescent="0.25">
      <c r="A6" s="37"/>
      <c r="B6" s="40"/>
      <c r="C6" s="40"/>
      <c r="D6" s="40"/>
      <c r="E6" s="141"/>
      <c r="F6" s="40"/>
      <c r="G6" s="15">
        <f>(G5-E5)/10</f>
        <v>6019.1</v>
      </c>
      <c r="H6" s="15">
        <f>(H5-E5)/10</f>
        <v>6004.5400000000027</v>
      </c>
      <c r="I6" s="21" t="s">
        <v>143</v>
      </c>
      <c r="T6" s="3"/>
      <c r="U6" s="3"/>
      <c r="V6" s="3"/>
    </row>
    <row r="7" spans="1:22" x14ac:dyDescent="0.25">
      <c r="A7" s="37"/>
      <c r="B7" s="40"/>
      <c r="C7" s="40"/>
      <c r="D7" s="40"/>
      <c r="E7" s="141"/>
      <c r="F7" s="40"/>
      <c r="G7" s="15"/>
      <c r="H7" s="15"/>
      <c r="I7" s="21"/>
      <c r="T7" s="3"/>
      <c r="U7" s="3"/>
      <c r="V7" s="3"/>
    </row>
    <row r="8" spans="1:22" x14ac:dyDescent="0.25">
      <c r="A8" s="37" t="s">
        <v>92</v>
      </c>
      <c r="B8" s="40">
        <f>BELKNAP!B8+CARROLL!B8+CHESHIRE!B8+COOS!B8+GRAFTON!B8+HILLSBOROUGH!B8+MERRIMACK!B8+ROCKINGHAM!B8+STRAFFORD!B8+SULLIVAN!B8</f>
        <v>620038</v>
      </c>
      <c r="C8" s="40">
        <f>BELKNAP!C8+CARROLL!C8+CHESHIRE!C8+COOS!C8+GRAFTON!C8+HILLSBOROUGH!C8+MERRIMACK!C8+ROCKINGHAM!C8+STRAFFORD!C8+SULLIVAN!C8</f>
        <v>694251</v>
      </c>
      <c r="D8" s="40">
        <f>C8-B8</f>
        <v>74213</v>
      </c>
      <c r="E8" s="40">
        <f>BELKNAP!E8+CARROLL!E8+CHESHIRE!E8+COOS!E8+GRAFTON!E8+HILLSBOROUGH!E8+MERRIMACK!E8+ROCKINGHAM!E8+STRAFFORD!E8+SULLIVAN!E8</f>
        <v>739110</v>
      </c>
      <c r="F8" s="70">
        <f>E8-C8</f>
        <v>44859</v>
      </c>
      <c r="G8" s="40">
        <f>BELKNAP!G8+CARROLL!G8+CHESHIRE!G8+COOS!G8+GRAFTON!G8+HILLSBOROUGH!G8+MERRIMACK!G8+ROCKINGHAM!G8+STRAFFORD!G8+SULLIVAN!G8</f>
        <v>774281.80872856523</v>
      </c>
      <c r="H8" s="40">
        <f>BELKNAP!H8+CARROLL!H8+CHESHIRE!H8+COOS!H8+GRAFTON!H8+HILLSBOROUGH!H8+MERRIMACK!H8+ROCKINGHAM!H8+STRAFFORD!H8+SULLIVAN!H8</f>
        <v>758115.15663735499</v>
      </c>
      <c r="I8" s="31"/>
      <c r="T8" s="3"/>
      <c r="U8" s="3"/>
      <c r="V8" s="3"/>
    </row>
    <row r="9" spans="1:22" x14ac:dyDescent="0.25">
      <c r="A9" s="37" t="s">
        <v>173</v>
      </c>
      <c r="B9" s="191">
        <f>B8/B5</f>
        <v>1.2515097934731709</v>
      </c>
      <c r="C9" s="191">
        <f>C8/C5</f>
        <v>1.1458537237510336</v>
      </c>
      <c r="D9" s="191"/>
      <c r="E9" s="191">
        <f>E8/E5</f>
        <v>1.2309186049222756</v>
      </c>
      <c r="F9" s="192"/>
      <c r="G9" s="191">
        <f>G8/G5</f>
        <v>1.1720088833315401</v>
      </c>
      <c r="H9" s="191">
        <f>H8/H5</f>
        <v>1.1477908331746478</v>
      </c>
      <c r="I9" s="31"/>
      <c r="T9" s="3"/>
      <c r="U9" s="3"/>
      <c r="V9" s="3"/>
    </row>
    <row r="10" spans="1:22" x14ac:dyDescent="0.25">
      <c r="A10" s="37"/>
      <c r="B10" s="40"/>
      <c r="C10" s="42"/>
      <c r="D10" s="43"/>
      <c r="E10" s="139"/>
      <c r="F10" s="40"/>
      <c r="G10" s="44" t="s">
        <v>226</v>
      </c>
      <c r="H10" s="32"/>
      <c r="I10" s="31"/>
      <c r="T10" s="3"/>
      <c r="U10" s="3"/>
      <c r="V10" s="3"/>
    </row>
    <row r="11" spans="1:22" x14ac:dyDescent="0.25">
      <c r="A11" s="37" t="s">
        <v>123</v>
      </c>
      <c r="B11" s="149">
        <f>B13/B8</f>
        <v>0.9137972188801331</v>
      </c>
      <c r="C11" s="149">
        <f>C13/C8</f>
        <v>0.91978981665132642</v>
      </c>
      <c r="D11" s="41"/>
      <c r="E11" s="149">
        <f>E13/E8</f>
        <v>0.91674987484948112</v>
      </c>
      <c r="F11" s="140" t="s">
        <v>45</v>
      </c>
      <c r="G11" s="149">
        <f>E11</f>
        <v>0.91674987484948112</v>
      </c>
      <c r="H11" s="149">
        <f>E11</f>
        <v>0.91674987484948112</v>
      </c>
      <c r="I11" s="31"/>
      <c r="T11" s="3"/>
      <c r="U11" s="3"/>
      <c r="V11" s="3"/>
    </row>
    <row r="12" spans="1:22" x14ac:dyDescent="0.25">
      <c r="A12" s="37"/>
      <c r="B12" s="40"/>
      <c r="C12" s="42"/>
      <c r="D12" s="43"/>
      <c r="E12" s="139"/>
      <c r="F12" s="40"/>
      <c r="G12" s="44"/>
      <c r="H12" s="32"/>
      <c r="I12" s="31"/>
      <c r="T12" s="3"/>
      <c r="U12" s="3"/>
      <c r="V12" s="3"/>
    </row>
    <row r="13" spans="1:22" x14ac:dyDescent="0.25">
      <c r="A13" s="37" t="s">
        <v>124</v>
      </c>
      <c r="B13" s="40">
        <f>BELKNAP!B13+CARROLL!B13+CHESHIRE!B13+COOS!B13+GRAFTON!B13+HILLSBOROUGH!B13+MERRIMACK!B13+ROCKINGHAM!B13+STRAFFORD!B13+SULLIVAN!B13</f>
        <v>566589</v>
      </c>
      <c r="C13" s="40">
        <f>BELKNAP!C13+CARROLL!C13+CHESHIRE!C13+COOS!C13+GRAFTON!C13+HILLSBOROUGH!C13+MERRIMACK!C13+ROCKINGHAM!C13+STRAFFORD!C13+SULLIVAN!C13</f>
        <v>638565</v>
      </c>
      <c r="D13" s="40">
        <f>C13-B13</f>
        <v>71976</v>
      </c>
      <c r="E13" s="40">
        <f>BELKNAP!E13+CARROLL!E13+CHESHIRE!E13+COOS!E13+GRAFTON!E13+HILLSBOROUGH!E13+MERRIMACK!E13+ROCKINGHAM!E13+STRAFFORD!E13+SULLIVAN!E13</f>
        <v>677579</v>
      </c>
      <c r="F13" s="70">
        <f>E13-C13</f>
        <v>39014</v>
      </c>
      <c r="G13" s="40">
        <f>BELKNAP!G13+CARROLL!G13+CHESHIRE!G13+COOS!G13+GRAFTON!G13+HILLSBOROUGH!G13+MERRIMACK!G13+ROCKINGHAM!G13+STRAFFORD!G13+SULLIVAN!G13</f>
        <v>709642.62490155338</v>
      </c>
      <c r="H13" s="40">
        <f>H8*H11</f>
        <v>695001.97496878996</v>
      </c>
      <c r="I13" s="37"/>
      <c r="J13" s="68" t="s">
        <v>135</v>
      </c>
    </row>
    <row r="14" spans="1:22" x14ac:dyDescent="0.25">
      <c r="A14" s="37" t="s">
        <v>134</v>
      </c>
      <c r="B14" s="40">
        <v>472074</v>
      </c>
      <c r="C14" s="40">
        <v>538457</v>
      </c>
      <c r="D14" s="40">
        <f>C14-B14</f>
        <v>66383</v>
      </c>
      <c r="E14" s="40">
        <v>571241</v>
      </c>
      <c r="F14" s="70">
        <f>E14-C14</f>
        <v>32784</v>
      </c>
      <c r="G14" s="40">
        <f>G13-G15</f>
        <v>598272.61867824744</v>
      </c>
      <c r="H14" s="40">
        <f>H13-H15</f>
        <v>585929.64537440881</v>
      </c>
      <c r="I14" s="37"/>
      <c r="J14" s="68" t="s">
        <v>136</v>
      </c>
    </row>
    <row r="15" spans="1:22" x14ac:dyDescent="0.25">
      <c r="A15" s="37" t="s">
        <v>24</v>
      </c>
      <c r="B15" s="40">
        <v>94515</v>
      </c>
      <c r="C15" s="40">
        <v>100108</v>
      </c>
      <c r="D15" s="40">
        <f>C15-B15</f>
        <v>5593</v>
      </c>
      <c r="E15" s="40">
        <v>106338</v>
      </c>
      <c r="F15" s="70">
        <f>E15-C15</f>
        <v>6230</v>
      </c>
      <c r="G15" s="40">
        <f>G16*G13</f>
        <v>111370.0062233059</v>
      </c>
      <c r="H15" s="40">
        <f>H16*H13</f>
        <v>109072.32959438115</v>
      </c>
      <c r="I15" s="37"/>
    </row>
    <row r="16" spans="1:22" x14ac:dyDescent="0.25">
      <c r="A16" s="37" t="s">
        <v>132</v>
      </c>
      <c r="B16" s="43">
        <f>B15/B13</f>
        <v>0.16681403980663231</v>
      </c>
      <c r="C16" s="43">
        <f>C15/C13</f>
        <v>0.15677025831356245</v>
      </c>
      <c r="D16" s="37"/>
      <c r="E16" s="43">
        <f>E15/E13</f>
        <v>0.15693815776462966</v>
      </c>
      <c r="F16" s="140" t="s">
        <v>45</v>
      </c>
      <c r="G16" s="43">
        <f>E16</f>
        <v>0.15693815776462966</v>
      </c>
      <c r="H16" s="43">
        <f>G16</f>
        <v>0.15693815776462966</v>
      </c>
      <c r="I16" s="37"/>
    </row>
    <row r="17" spans="1:22" x14ac:dyDescent="0.25">
      <c r="A17" s="37"/>
      <c r="B17" s="40"/>
      <c r="C17" s="42"/>
      <c r="D17" s="43"/>
      <c r="E17" s="139"/>
      <c r="F17" s="40"/>
      <c r="G17" s="44"/>
      <c r="H17" s="32"/>
      <c r="I17" s="31"/>
      <c r="T17" s="3"/>
      <c r="U17" s="3"/>
      <c r="V17" s="3"/>
    </row>
    <row r="18" spans="1:22" x14ac:dyDescent="0.25">
      <c r="A18" s="37" t="s">
        <v>31</v>
      </c>
      <c r="B18" s="41">
        <f>B2/B55</f>
        <v>1.0457578808617025</v>
      </c>
      <c r="C18" s="41">
        <f>C2/C55</f>
        <v>1.115670682629381</v>
      </c>
      <c r="D18" s="41"/>
      <c r="E18" s="41">
        <f>E2/E55</f>
        <v>0.98923258050033436</v>
      </c>
      <c r="F18" s="37"/>
      <c r="G18" s="32"/>
      <c r="H18" s="31"/>
      <c r="I18" s="31"/>
      <c r="T18" s="16"/>
      <c r="U18" s="16"/>
      <c r="V18" s="16"/>
    </row>
    <row r="19" spans="1:22" x14ac:dyDescent="0.25">
      <c r="A19" s="37"/>
      <c r="B19" s="41"/>
      <c r="C19" s="41"/>
      <c r="D19" s="41"/>
      <c r="E19" s="41"/>
      <c r="F19" s="37"/>
      <c r="G19" s="31"/>
      <c r="H19" s="31"/>
      <c r="I19" s="31"/>
      <c r="T19" s="17"/>
      <c r="U19" s="17"/>
      <c r="V19" s="17"/>
    </row>
    <row r="20" spans="1:22" x14ac:dyDescent="0.25">
      <c r="A20" s="37" t="s">
        <v>128</v>
      </c>
      <c r="B20" s="41">
        <f>B24/B8</f>
        <v>1.5871414332669933</v>
      </c>
      <c r="C20" s="41">
        <f>C24/C8</f>
        <v>1.5668036488244166</v>
      </c>
      <c r="D20" s="37"/>
      <c r="E20" s="41">
        <f>E24/E8</f>
        <v>1.5399629283868437</v>
      </c>
      <c r="F20" s="140" t="s">
        <v>46</v>
      </c>
      <c r="G20" s="41">
        <f>G24/G8</f>
        <v>1.5393624371377392</v>
      </c>
      <c r="H20" s="41">
        <f>H24/H8</f>
        <v>1.4757240446108624</v>
      </c>
      <c r="I20" s="37"/>
    </row>
    <row r="21" spans="1:22" x14ac:dyDescent="0.25">
      <c r="A21" s="37" t="s">
        <v>94</v>
      </c>
      <c r="B21" s="41">
        <f>B29/B8</f>
        <v>0.53832668320328758</v>
      </c>
      <c r="C21" s="41">
        <f>C29/C8</f>
        <v>0.5519732776762295</v>
      </c>
      <c r="D21" s="37"/>
      <c r="E21" s="41">
        <f>E29/E8</f>
        <v>0.55034162709204315</v>
      </c>
      <c r="F21" s="140" t="s">
        <v>46</v>
      </c>
      <c r="G21" s="41">
        <f>G29/G8</f>
        <v>0.5469286211123543</v>
      </c>
      <c r="H21" s="41">
        <f>H29/H8</f>
        <v>0.54297152272481586</v>
      </c>
      <c r="I21" s="37"/>
    </row>
    <row r="22" spans="1:22" x14ac:dyDescent="0.25">
      <c r="A22" s="37"/>
      <c r="B22" s="150"/>
      <c r="C22" s="149"/>
      <c r="D22" s="41"/>
      <c r="E22" s="37"/>
      <c r="F22" s="37"/>
      <c r="G22" s="149"/>
      <c r="H22" s="149"/>
      <c r="I22" s="37"/>
    </row>
    <row r="23" spans="1:22" x14ac:dyDescent="0.25">
      <c r="A23" s="64" t="s">
        <v>98</v>
      </c>
      <c r="B23" s="41"/>
      <c r="C23" s="41"/>
      <c r="D23" s="37"/>
      <c r="E23" s="37"/>
      <c r="F23" s="37"/>
      <c r="G23" s="37"/>
      <c r="H23" s="37"/>
      <c r="I23" s="37"/>
    </row>
    <row r="24" spans="1:22" x14ac:dyDescent="0.25">
      <c r="A24" s="37" t="s">
        <v>99</v>
      </c>
      <c r="B24" s="40">
        <f>BELKNAP!B24+CARROLL!B24+CHESHIRE!B24+COOS!B24+GRAFTON!B24+HILLSBOROUGH!B24+MERRIMACK!B24+ROCKINGHAM!B24+STRAFFORD!B24+SULLIVAN!B24</f>
        <v>984088</v>
      </c>
      <c r="C24" s="40">
        <f>BELKNAP!C24+CARROLL!C24+CHESHIRE!C24+COOS!C24+GRAFTON!C24+HILLSBOROUGH!C24+MERRIMACK!C24+ROCKINGHAM!C24+STRAFFORD!C24+SULLIVAN!C24</f>
        <v>1087755</v>
      </c>
      <c r="D24" s="40">
        <f>C24-B24</f>
        <v>103667</v>
      </c>
      <c r="E24" s="40">
        <f>BELKNAP!E24+CARROLL!E24+CHESHIRE!E24+COOS!E24+GRAFTON!E24+HILLSBOROUGH!E24+MERRIMACK!E24+ROCKINGHAM!E24+STRAFFORD!E24+SULLIVAN!E24</f>
        <v>1138202</v>
      </c>
      <c r="F24" s="70">
        <f>E24-C24</f>
        <v>50447</v>
      </c>
      <c r="G24" s="40">
        <f>BELKNAP!G24+CARROLL!G24+CHESHIRE!G24+COOS!G24+GRAFTON!G24+HILLSBOROUGH!G24+MERRIMACK!G24+ROCKINGHAM!G24+STRAFFORD!G24+SULLIVAN!G24</f>
        <v>1191900.3321158211</v>
      </c>
      <c r="H24" s="40">
        <f>BELKNAP!H24+CARROLL!H24+CHESHIRE!H24+COOS!H24+GRAFTON!H24+HILLSBOROUGH!H24+MERRIMACK!H24+ROCKINGHAM!H24+STRAFFORD!H24+SULLIVAN!H24</f>
        <v>1118768.765233675</v>
      </c>
      <c r="I24" s="40">
        <f>BELKNAP!I24+CARROLL!I24+CHESHIRE!I24+COOS!I24+GRAFTON!I24+HILLSBOROUGH!I24+MERRIMACK!I24+ROCKINGHAM!I24+STRAFFORD!I24+SULLIVAN!I24</f>
        <v>1094112</v>
      </c>
    </row>
    <row r="25" spans="1:22" x14ac:dyDescent="0.25">
      <c r="A25" s="37" t="s">
        <v>97</v>
      </c>
      <c r="B25" s="40">
        <f>BELKNAP!B25+CARROLL!B25+CHESHIRE!B25+COOS!B25+GRAFTON!B25+HILLSBOROUGH!B25+MERRIMACK!B25+ROCKINGHAM!B25+STRAFFORD!B25+SULLIVAN!B25</f>
        <v>23616</v>
      </c>
      <c r="C25" s="40">
        <f>BELKNAP!C25+CARROLL!C25+CHESHIRE!C25+COOS!C25+GRAFTON!C25+HILLSBOROUGH!C25+MERRIMACK!C25+ROCKINGHAM!C25+STRAFFORD!C25+SULLIVAN!C25</f>
        <v>25003</v>
      </c>
      <c r="D25" s="40">
        <f>C25-B25</f>
        <v>1387</v>
      </c>
      <c r="E25" s="40">
        <f>BELKNAP!E25+CARROLL!E25+CHESHIRE!E25+COOS!E25+GRAFTON!E25+HILLSBOROUGH!E25+MERRIMACK!E25+ROCKINGHAM!E25+STRAFFORD!E25+SULLIVAN!E25</f>
        <v>32275</v>
      </c>
      <c r="F25" s="70">
        <f>E25-C25</f>
        <v>7272</v>
      </c>
      <c r="G25" s="40">
        <f>BELKNAP!G25+CARROLL!G25+CHESHIRE!G25+COOS!G25+GRAFTON!G25+HILLSBOROUGH!G25+MERRIMACK!G25+ROCKINGHAM!G25+STRAFFORD!G25+SULLIVAN!G25</f>
        <v>31292</v>
      </c>
      <c r="H25" s="40">
        <f>BELKNAP!H25+CARROLL!H25+CHESHIRE!H25+COOS!H25+GRAFTON!H25+HILLSBOROUGH!H25+MERRIMACK!H25+ROCKINGHAM!H25+STRAFFORD!H25+SULLIVAN!H25</f>
        <v>31292</v>
      </c>
      <c r="I25" s="40">
        <f>BELKNAP!I25+CARROLL!I25+CHESHIRE!I25+COOS!I25+GRAFTON!I25+HILLSBOROUGH!I25+MERRIMACK!I25+ROCKINGHAM!I25+STRAFFORD!I25+SULLIVAN!I25</f>
        <v>31292</v>
      </c>
    </row>
    <row r="26" spans="1:22" x14ac:dyDescent="0.25">
      <c r="A26" s="37" t="s">
        <v>95</v>
      </c>
      <c r="B26" s="40">
        <f>B24-B25</f>
        <v>960472</v>
      </c>
      <c r="C26" s="40">
        <f>C24-C25</f>
        <v>1062752</v>
      </c>
      <c r="D26" s="40">
        <f>C26-B26</f>
        <v>102280</v>
      </c>
      <c r="E26" s="40">
        <f>E24-E25</f>
        <v>1105927</v>
      </c>
      <c r="F26" s="70">
        <f>E26-C26</f>
        <v>43175</v>
      </c>
      <c r="G26" s="40">
        <f>G24-G25</f>
        <v>1160608.3321158211</v>
      </c>
      <c r="H26" s="40">
        <f>H24-H25</f>
        <v>1087476.765233675</v>
      </c>
      <c r="I26" s="40">
        <f>I24-I25</f>
        <v>1062820</v>
      </c>
    </row>
    <row r="27" spans="1:22" x14ac:dyDescent="0.25">
      <c r="A27" s="37" t="s">
        <v>111</v>
      </c>
      <c r="B27" s="142">
        <f>B26/B29</f>
        <v>2.8775342063556262</v>
      </c>
      <c r="C27" s="142">
        <f>C26/C29</f>
        <v>2.7733032713304522</v>
      </c>
      <c r="D27" s="41"/>
      <c r="E27" s="142">
        <f>E26/E29</f>
        <v>2.7188485678392578</v>
      </c>
      <c r="F27" s="37"/>
      <c r="G27" s="142">
        <f>G26/G29</f>
        <v>2.7406651494969108</v>
      </c>
      <c r="H27" s="142">
        <f>H26/H29</f>
        <v>2.6418475618018222</v>
      </c>
      <c r="I27" s="142">
        <f>I26/I29</f>
        <v>2.6584257353180272</v>
      </c>
    </row>
    <row r="28" spans="1:22" x14ac:dyDescent="0.25">
      <c r="A28" s="37"/>
      <c r="B28" s="40"/>
      <c r="C28" s="40"/>
      <c r="D28" s="37"/>
      <c r="E28" s="37"/>
      <c r="F28" s="37"/>
      <c r="G28" s="37"/>
      <c r="H28" s="37"/>
      <c r="I28" s="37"/>
    </row>
    <row r="29" spans="1:22" x14ac:dyDescent="0.25">
      <c r="A29" s="37" t="s">
        <v>100</v>
      </c>
      <c r="B29" s="40">
        <f>BELKNAP!B29+CARROLL!B29+CHESHIRE!B29+COOS!B29+GRAFTON!B29+HILLSBOROUGH!B29+MERRIMACK!B29+ROCKINGHAM!B29+STRAFFORD!B29+SULLIVAN!B29</f>
        <v>333783</v>
      </c>
      <c r="C29" s="40">
        <f>BELKNAP!C29+CARROLL!C29+CHESHIRE!C29+COOS!C29+GRAFTON!C29+HILLSBOROUGH!C29+MERRIMACK!C29+ROCKINGHAM!C29+STRAFFORD!C29+SULLIVAN!C29</f>
        <v>383208</v>
      </c>
      <c r="D29" s="40">
        <f>C29-B29</f>
        <v>49425</v>
      </c>
      <c r="E29" s="40">
        <f>BELKNAP!E29+CARROLL!E29+CHESHIRE!E29+COOS!E29+GRAFTON!E29+HILLSBOROUGH!E29+MERRIMACK!E29+ROCKINGHAM!E29+STRAFFORD!E29+SULLIVAN!E29</f>
        <v>406763</v>
      </c>
      <c r="F29" s="70">
        <f>E29-C29</f>
        <v>23555</v>
      </c>
      <c r="G29" s="40">
        <f>BELKNAP!G29+CARROLL!G29+CHESHIRE!G29+COOS!G29+GRAFTON!G29+HILLSBOROUGH!G29+MERRIMACK!G29+ROCKINGHAM!G29+STRAFFORD!G29+SULLIVAN!G29</f>
        <v>423476.88200029387</v>
      </c>
      <c r="H29" s="40">
        <f>BELKNAP!H29+CARROLL!H29+CHESHIRE!H29+COOS!H29+GRAFTON!H29+HILLSBOROUGH!H29+MERRIMACK!H29+ROCKINGHAM!H29+STRAFFORD!H29+SULLIVAN!H29</f>
        <v>411634.94100014691</v>
      </c>
      <c r="I29" s="40">
        <f>BELKNAP!I29+CARROLL!I29+CHESHIRE!I29+COOS!I29+GRAFTON!I29+HILLSBOROUGH!I29+MERRIMACK!I29+ROCKINGHAM!I29+STRAFFORD!I29+SULLIVAN!I29</f>
        <v>399793</v>
      </c>
    </row>
    <row r="30" spans="1:22" x14ac:dyDescent="0.25">
      <c r="A30" s="37" t="s">
        <v>101</v>
      </c>
      <c r="B30" s="40">
        <f>BELKNAP!B30+CARROLL!B30+CHESHIRE!B30+COOS!B30+GRAFTON!B30+HILLSBOROUGH!B30+MERRIMACK!B30+ROCKINGHAM!B30+STRAFFORD!B30+SULLIVAN!B30</f>
        <v>223948</v>
      </c>
      <c r="C30" s="40">
        <f>BELKNAP!C30+CARROLL!C30+CHESHIRE!C30+COOS!C30+GRAFTON!C30+HILLSBOROUGH!C30+MERRIMACK!C30+ROCKINGHAM!C30+STRAFFORD!C30+SULLIVAN!C30</f>
        <v>261515</v>
      </c>
      <c r="D30" s="40">
        <f>C30-B30</f>
        <v>37567</v>
      </c>
      <c r="E30" s="40">
        <f>BELKNAP!E30+CARROLL!E30+CHESHIRE!E30+COOS!E30+GRAFTON!E30+HILLSBOROUGH!E30+MERRIMACK!E30+ROCKINGHAM!E30+STRAFFORD!E30+SULLIVAN!E30</f>
        <v>282165</v>
      </c>
      <c r="F30" s="70">
        <f>E30-C30</f>
        <v>20650</v>
      </c>
      <c r="G30" s="40">
        <f>BELKNAP!G30+CARROLL!G30+CHESHIRE!G30+COOS!G30+GRAFTON!G30+HILLSBOROUGH!G30+MERRIMACK!G30+ROCKINGHAM!G30+STRAFFORD!G30+SULLIVAN!G30</f>
        <v>293091.10413881514</v>
      </c>
      <c r="H30" s="40">
        <f>BELKNAP!H30+CARROLL!H30+CHESHIRE!H30+COOS!H30+GRAFTON!H30+HILLSBOROUGH!H30+MERRIMACK!H30+ROCKINGHAM!H30+STRAFFORD!H30+SULLIVAN!H30</f>
        <v>284718.81629151874</v>
      </c>
      <c r="I30" s="40">
        <f>BELKNAP!I30+CARROLL!I30+CHESHIRE!I30+COOS!I30+GRAFTON!I30+HILLSBOROUGH!I30+MERRIMACK!I30+ROCKINGHAM!I30+STRAFFORD!I30+SULLIVAN!I30</f>
        <v>276346.52844422229</v>
      </c>
    </row>
    <row r="31" spans="1:22" x14ac:dyDescent="0.25">
      <c r="A31" s="37" t="s">
        <v>102</v>
      </c>
      <c r="B31" s="40">
        <f>BELKNAP!B31+CARROLL!B31+CHESHIRE!B31+COOS!B31+GRAFTON!B31+HILLSBOROUGH!B31+MERRIMACK!B31+ROCKINGHAM!B31+STRAFFORD!B31+SULLIVAN!B31</f>
        <v>109835</v>
      </c>
      <c r="C31" s="40">
        <f>BELKNAP!C31+CARROLL!C31+CHESHIRE!C31+COOS!C31+GRAFTON!C31+HILLSBOROUGH!C31+MERRIMACK!C31+ROCKINGHAM!C31+STRAFFORD!C31+SULLIVAN!C31</f>
        <v>121693</v>
      </c>
      <c r="D31" s="40">
        <f>C31-B31</f>
        <v>11858</v>
      </c>
      <c r="E31" s="40">
        <f>BELKNAP!E31+CARROLL!E31+CHESHIRE!E31+COOS!E31+GRAFTON!E31+HILLSBOROUGH!E31+MERRIMACK!E31+ROCKINGHAM!E31+STRAFFORD!E31+SULLIVAN!E31</f>
        <v>124598</v>
      </c>
      <c r="F31" s="70">
        <f>E31-C31</f>
        <v>2905</v>
      </c>
      <c r="G31" s="40">
        <f>BELKNAP!G31+CARROLL!G31+CHESHIRE!G31+COOS!G31+GRAFTON!G31+HILLSBOROUGH!G31+MERRIMACK!G31+ROCKINGHAM!G31+STRAFFORD!G31+SULLIVAN!G31</f>
        <v>130385.77786147868</v>
      </c>
      <c r="H31" s="40">
        <f>BELKNAP!H31+CARROLL!H31+CHESHIRE!H31+COOS!H31+GRAFTON!H31+HILLSBOROUGH!H31+MERRIMACK!H31+ROCKINGHAM!H31+STRAFFORD!H31+SULLIVAN!H31</f>
        <v>126916.12470862818</v>
      </c>
      <c r="I31" s="40">
        <f>BELKNAP!I31+CARROLL!I31+CHESHIRE!I31+COOS!I31+GRAFTON!I31+HILLSBOROUGH!I31+MERRIMACK!I31+ROCKINGHAM!I31+STRAFFORD!I31+SULLIVAN!I31</f>
        <v>123445.82989750001</v>
      </c>
    </row>
    <row r="32" spans="1:22" x14ac:dyDescent="0.25">
      <c r="A32" s="37" t="s">
        <v>103</v>
      </c>
      <c r="B32" s="43">
        <f>B30/B29</f>
        <v>0.67093890341928741</v>
      </c>
      <c r="C32" s="43">
        <f>C30/C29</f>
        <v>0.68243617043485527</v>
      </c>
      <c r="D32" s="42"/>
      <c r="E32" s="43">
        <f>E30/E29</f>
        <v>0.69368403714202131</v>
      </c>
      <c r="F32" s="37"/>
      <c r="G32" s="43">
        <f>H32</f>
        <v>0.69122402954584572</v>
      </c>
      <c r="H32" s="43">
        <f>I32</f>
        <v>0.69122402954584572</v>
      </c>
      <c r="I32" s="43">
        <f>I30/I29</f>
        <v>0.69122402954584572</v>
      </c>
    </row>
    <row r="33" spans="1:9" x14ac:dyDescent="0.25">
      <c r="A33" s="37" t="s">
        <v>104</v>
      </c>
      <c r="B33" s="43">
        <f>B31/B29</f>
        <v>0.32906109658071264</v>
      </c>
      <c r="C33" s="43">
        <f>C31/C29</f>
        <v>0.31756382956514478</v>
      </c>
      <c r="D33" s="42"/>
      <c r="E33" s="43">
        <f>E31/E29</f>
        <v>0.30631596285797874</v>
      </c>
      <c r="F33" s="37"/>
      <c r="G33" s="43">
        <f>1-G32</f>
        <v>0.30877597045415428</v>
      </c>
      <c r="H33" s="43">
        <f>1-H32</f>
        <v>0.30877597045415428</v>
      </c>
      <c r="I33" s="43">
        <f>I31/I29</f>
        <v>0.30877436547788484</v>
      </c>
    </row>
    <row r="34" spans="1:9" x14ac:dyDescent="0.25">
      <c r="A34" s="37"/>
      <c r="B34" s="40"/>
      <c r="C34" s="40"/>
      <c r="D34" s="37"/>
      <c r="E34" s="37"/>
      <c r="F34" s="37"/>
      <c r="G34" s="37"/>
      <c r="H34" s="37"/>
      <c r="I34" s="37"/>
    </row>
    <row r="35" spans="1:9" x14ac:dyDescent="0.25">
      <c r="A35" s="64" t="s">
        <v>171</v>
      </c>
      <c r="B35" s="43"/>
      <c r="C35" s="40"/>
      <c r="D35" s="40"/>
      <c r="E35" s="37"/>
      <c r="F35" s="37"/>
      <c r="G35" s="154"/>
      <c r="H35" s="154"/>
      <c r="I35" s="154"/>
    </row>
    <row r="36" spans="1:9" x14ac:dyDescent="0.25">
      <c r="A36" s="37" t="s">
        <v>105</v>
      </c>
      <c r="B36" s="40">
        <f>BELKNAP!B36+CARROLL!B36+CHESHIRE!B36+COOS!B36+GRAFTON!B36+HILLSBOROUGH!B36+MERRIMACK!B36+ROCKINGHAM!B36+STRAFFORD!B36+SULLIVAN!B36</f>
        <v>125029</v>
      </c>
      <c r="C36" s="40">
        <f>BELKNAP!C36+CARROLL!C36+CHESHIRE!C36+COOS!C36+GRAFTON!C36+HILLSBOROUGH!C36+MERRIMACK!C36+ROCKINGHAM!C36+STRAFFORD!C36+SULLIVAN!C36</f>
        <v>147970</v>
      </c>
      <c r="D36" s="40">
        <f>C36-B36</f>
        <v>22941</v>
      </c>
      <c r="E36" s="40">
        <f>BELKNAP!E36+CARROLL!E36+CHESHIRE!E36+COOS!E36+GRAFTON!E36+HILLSBOROUGH!E36+MERRIMACK!E36+ROCKINGHAM!E36+STRAFFORD!E36+SULLIVAN!E36</f>
        <v>178268</v>
      </c>
      <c r="F36" s="70">
        <f>E36-C36</f>
        <v>30298</v>
      </c>
      <c r="G36" s="40">
        <f>BELKNAP!G36+CARROLL!G36+CHESHIRE!G36+COOS!G36+GRAFTON!G36+HILLSBOROUGH!G36+MERRIMACK!G36+ROCKINGHAM!G36+STRAFFORD!G36+SULLIVAN!G36</f>
        <v>265725</v>
      </c>
      <c r="H36" s="40">
        <f>BELKNAP!H36+CARROLL!H36+CHESHIRE!H36+COOS!H36+GRAFTON!H36+HILLSBOROUGH!H36+MERRIMACK!H36+ROCKINGHAM!H36+STRAFFORD!H36+SULLIVAN!H36</f>
        <v>265725</v>
      </c>
      <c r="I36" s="40">
        <f>BELKNAP!I36+CARROLL!I36+CHESHIRE!I36+COOS!I36+GRAFTON!I36+HILLSBOROUGH!I36+MERRIMACK!I36+ROCKINGHAM!I36+STRAFFORD!I36+SULLIVAN!I36</f>
        <v>265725</v>
      </c>
    </row>
    <row r="37" spans="1:9" x14ac:dyDescent="0.25">
      <c r="A37" s="37" t="s">
        <v>106</v>
      </c>
      <c r="B37" s="43">
        <f>B36/B50</f>
        <v>0.11272841368403874</v>
      </c>
      <c r="C37" s="43">
        <f>C36/C50</f>
        <v>0.1197434704323373</v>
      </c>
      <c r="D37" s="42"/>
      <c r="E37" s="43">
        <f>E36/E50</f>
        <v>0.13541364406329046</v>
      </c>
      <c r="F37" s="37"/>
      <c r="G37" s="43">
        <f>G36/G50</f>
        <v>0.18215394839905352</v>
      </c>
      <c r="H37" s="43">
        <f>H36/H50</f>
        <v>0.19189060366338104</v>
      </c>
      <c r="I37" s="43">
        <f>I36/I50</f>
        <v>0.195409449809058</v>
      </c>
    </row>
    <row r="38" spans="1:9" x14ac:dyDescent="0.25">
      <c r="A38" s="37" t="s">
        <v>107</v>
      </c>
      <c r="B38" s="40">
        <f>BELKNAP!B38+CARROLL!B38+CHESHIRE!B38+COOS!B38+GRAFTON!B38+HILLSBOROUGH!B38+MERRIMACK!B38+ROCKINGHAM!B38+STRAFFORD!B38+SULLIVAN!B38</f>
        <v>8458</v>
      </c>
      <c r="C38" s="40">
        <f>BELKNAP!C38+CARROLL!C38+CHESHIRE!C38+COOS!C38+GRAFTON!C38+HILLSBOROUGH!C38+MERRIMACK!C38+ROCKINGHAM!C38+STRAFFORD!C38+SULLIVAN!C38</f>
        <v>10536</v>
      </c>
      <c r="D38" s="40">
        <f>C38-B38</f>
        <v>2078</v>
      </c>
      <c r="E38" s="40">
        <f>BELKNAP!E38+CARROLL!E38+CHESHIRE!E38+COOS!E38+GRAFTON!E38+HILLSBOROUGH!E38+MERRIMACK!E38+ROCKINGHAM!E38+STRAFFORD!E38+SULLIVAN!E38</f>
        <v>7829</v>
      </c>
      <c r="F38" s="70">
        <f>E38-C38</f>
        <v>-2707</v>
      </c>
      <c r="G38" s="40">
        <f>BELKNAP!G38+CARROLL!G38+CHESHIRE!G38+COOS!G38+GRAFTON!G38+HILLSBOROUGH!G38+MERRIMACK!G38+ROCKINGHAM!G38+STRAFFORD!G38+SULLIVAN!G38</f>
        <v>9825</v>
      </c>
      <c r="H38" s="40">
        <f>BELKNAP!H38+CARROLL!H38+CHESHIRE!H38+COOS!H38+GRAFTON!H38+HILLSBOROUGH!H38+MERRIMACK!H38+ROCKINGHAM!H38+STRAFFORD!H38+SULLIVAN!H38</f>
        <v>9825</v>
      </c>
      <c r="I38" s="40">
        <f>BELKNAP!I38+CARROLL!I38+CHESHIRE!I38+COOS!I38+GRAFTON!I38+HILLSBOROUGH!I38+MERRIMACK!I38+ROCKINGHAM!I38+STRAFFORD!I38+SULLIVAN!I38</f>
        <v>9825</v>
      </c>
    </row>
    <row r="39" spans="1:9" x14ac:dyDescent="0.25">
      <c r="A39" s="37" t="s">
        <v>108</v>
      </c>
      <c r="B39" s="40">
        <f>B36-B38</f>
        <v>116571</v>
      </c>
      <c r="C39" s="40">
        <f>C36-C38</f>
        <v>137434</v>
      </c>
      <c r="D39" s="40">
        <f>C39-B39</f>
        <v>20863</v>
      </c>
      <c r="E39" s="40">
        <f>E36-E38</f>
        <v>170439</v>
      </c>
      <c r="F39" s="70">
        <f>E39-C39</f>
        <v>33005</v>
      </c>
      <c r="G39" s="40">
        <f>H39</f>
        <v>255900</v>
      </c>
      <c r="H39" s="40">
        <f>I39</f>
        <v>255900</v>
      </c>
      <c r="I39" s="40">
        <f>BELKNAP!I39+CARROLL!I39+CHESHIRE!I39+COOS!I39+GRAFTON!I39+HILLSBOROUGH!I39+MERRIMACK!I39+ROCKINGHAM!I39+STRAFFORD!I39+SULLIVAN!I39</f>
        <v>255900</v>
      </c>
    </row>
    <row r="40" spans="1:9" x14ac:dyDescent="0.25">
      <c r="A40" s="37"/>
      <c r="B40" s="40"/>
      <c r="C40" s="40"/>
      <c r="D40" s="40"/>
      <c r="E40" s="40"/>
      <c r="F40" s="70"/>
      <c r="G40" s="40"/>
      <c r="H40" s="40"/>
      <c r="I40" s="40"/>
    </row>
    <row r="41" spans="1:9" x14ac:dyDescent="0.25">
      <c r="A41" s="37" t="s">
        <v>109</v>
      </c>
      <c r="B41" s="40">
        <f>BELKNAP!B41+CARROLL!B41+CHESHIRE!B41+COOS!B41+GRAFTON!B41+HILLSBOROUGH!B41+MERRIMACK!B41+ROCKINGHAM!B41+STRAFFORD!B41+SULLIVAN!B41</f>
        <v>77403</v>
      </c>
      <c r="C41" s="40">
        <f>BELKNAP!C41+CARROLL!C41+CHESHIRE!C41+COOS!C41+GRAFTON!C41+HILLSBOROUGH!C41+MERRIMACK!C41+ROCKINGHAM!C41+STRAFFORD!C41+SULLIVAN!C41</f>
        <v>91398</v>
      </c>
      <c r="D41" s="40">
        <f>C41-B41</f>
        <v>13995</v>
      </c>
      <c r="E41" s="40">
        <f>BELKNAP!E41+CARROLL!E41+CHESHIRE!E41+COOS!E41+GRAFTON!E41+HILLSBOROUGH!E41+MERRIMACK!E41+ROCKINGHAM!E41+STRAFFORD!E41+SULLIVAN!E41</f>
        <v>112210</v>
      </c>
      <c r="F41" s="70">
        <f>E41-C41</f>
        <v>20812</v>
      </c>
      <c r="G41" s="40">
        <f>BELKNAP!G41+CARROLL!G41+CHESHIRE!G41+COOS!G41+GRAFTON!G41+HILLSBOROUGH!G41+MERRIMACK!G41+ROCKINGHAM!G41+STRAFFORD!G41+SULLIVAN!G41</f>
        <v>166940</v>
      </c>
      <c r="H41" s="40">
        <f>BELKNAP!H41+CARROLL!H41+CHESHIRE!H41+COOS!H41+GRAFTON!H41+HILLSBOROUGH!H41+MERRIMACK!H41+ROCKINGHAM!H41+STRAFFORD!H41+SULLIVAN!H41</f>
        <v>166940</v>
      </c>
      <c r="I41" s="40">
        <f>BELKNAP!I41+CARROLL!I41+CHESHIRE!I41+COOS!I41+GRAFTON!I41+HILLSBOROUGH!I41+MERRIMACK!I41+ROCKINGHAM!I41+STRAFFORD!I41+SULLIVAN!I41</f>
        <v>166940</v>
      </c>
    </row>
    <row r="42" spans="1:9" x14ac:dyDescent="0.25">
      <c r="A42" s="37" t="s">
        <v>110</v>
      </c>
      <c r="B42" s="43">
        <f>B41/B55</f>
        <v>0.18824327676525951</v>
      </c>
      <c r="C42" s="43">
        <f>C41/C55</f>
        <v>0.19257657930999608</v>
      </c>
      <c r="D42" s="42"/>
      <c r="E42" s="43">
        <f>E41/E55</f>
        <v>0.21621548712553446</v>
      </c>
      <c r="F42" s="37"/>
      <c r="G42" s="43">
        <f>G41/G55</f>
        <v>0.28274936758992764</v>
      </c>
      <c r="H42" s="43">
        <f>H41/H55</f>
        <v>0.28853651993883644</v>
      </c>
      <c r="I42" s="43">
        <f>I41/I55</f>
        <v>0.29456551850695123</v>
      </c>
    </row>
    <row r="43" spans="1:9" x14ac:dyDescent="0.25">
      <c r="A43" s="37" t="s">
        <v>112</v>
      </c>
      <c r="B43" s="142">
        <f>B39/B41</f>
        <v>1.5060268981822409</v>
      </c>
      <c r="C43" s="142">
        <f>C39/C41</f>
        <v>1.5036871703976018</v>
      </c>
      <c r="D43" s="37"/>
      <c r="E43" s="142">
        <f>E39/E41</f>
        <v>1.5189287942251137</v>
      </c>
      <c r="F43" s="37"/>
      <c r="G43" s="142">
        <f>G39/G41</f>
        <v>1.5328860668503654</v>
      </c>
      <c r="H43" s="142">
        <f>H39/H41</f>
        <v>1.5328860668503654</v>
      </c>
      <c r="I43" s="142">
        <f>I39/I41</f>
        <v>1.5328860668503654</v>
      </c>
    </row>
    <row r="44" spans="1:9" x14ac:dyDescent="0.25">
      <c r="A44" s="37"/>
      <c r="B44" s="142"/>
      <c r="C44" s="142"/>
      <c r="D44" s="42"/>
      <c r="E44" s="42"/>
      <c r="F44" s="37"/>
      <c r="G44" s="37"/>
      <c r="H44" s="37"/>
      <c r="I44" s="37"/>
    </row>
    <row r="45" spans="1:9" x14ac:dyDescent="0.25">
      <c r="A45" s="37" t="s">
        <v>113</v>
      </c>
      <c r="B45" s="40">
        <f>BELKNAP!B45+CARROLL!B45+CHESHIRE!B45+COOS!B45+GRAFTON!B45+HILLSBOROUGH!B45+MERRIMACK!B45+ROCKINGHAM!B45+STRAFFORD!B45+SULLIVAN!B45</f>
        <v>56424</v>
      </c>
      <c r="C45" s="40">
        <f>BELKNAP!C45+CARROLL!C45+CHESHIRE!C45+COOS!C45+GRAFTON!C45+HILLSBOROUGH!C45+MERRIMACK!C45+ROCKINGHAM!C45+STRAFFORD!C45+SULLIVAN!C45</f>
        <v>69185</v>
      </c>
      <c r="D45" s="40">
        <f>C45-B45</f>
        <v>12761</v>
      </c>
      <c r="E45" s="40">
        <f>BELKNAP!E45+CARROLL!E45+CHESHIRE!E45+COOS!E45+GRAFTON!E45+HILLSBOROUGH!E45+MERRIMACK!E45+ROCKINGHAM!E45+STRAFFORD!E45+SULLIVAN!E45</f>
        <v>86151</v>
      </c>
      <c r="F45" s="70">
        <f>E45-C45</f>
        <v>16966</v>
      </c>
      <c r="G45" s="40">
        <f>BELKNAP!G45+CARROLL!G45+CHESHIRE!G45+COOS!G45+GRAFTON!G45+HILLSBOROUGH!G45+MERRIMACK!G45+ROCKINGHAM!G45+STRAFFORD!G45+SULLIVAN!G45</f>
        <v>129408.20173929972</v>
      </c>
      <c r="H45" s="40">
        <f>BELKNAP!H45+CARROLL!H45+CHESHIRE!H45+COOS!H45+GRAFTON!H45+HILLSBOROUGH!H45+MERRIMACK!H45+ROCKINGHAM!H45+STRAFFORD!H45+SULLIVAN!H45</f>
        <v>129408.20173929972</v>
      </c>
      <c r="I45" s="40">
        <f>BELKNAP!I45+CARROLL!I45+CHESHIRE!I45+COOS!I45+GRAFTON!I45+HILLSBOROUGH!I45+MERRIMACK!I45+ROCKINGHAM!I45+STRAFFORD!I45+SULLIVAN!I45</f>
        <v>129408.20173929972</v>
      </c>
    </row>
    <row r="46" spans="1:9" x14ac:dyDescent="0.25">
      <c r="A46" s="37" t="s">
        <v>114</v>
      </c>
      <c r="B46" s="40">
        <f>BELKNAP!B46+CARROLL!B46+CHESHIRE!B46+COOS!B46+GRAFTON!B46+HILLSBOROUGH!B46+MERRIMACK!B46+ROCKINGHAM!B46+STRAFFORD!B46+SULLIVAN!B46</f>
        <v>20979</v>
      </c>
      <c r="C46" s="40">
        <f>BELKNAP!C46+CARROLL!C46+CHESHIRE!C46+COOS!C46+GRAFTON!C46+HILLSBOROUGH!C46+MERRIMACK!C46+ROCKINGHAM!C46+STRAFFORD!C46+SULLIVAN!C46</f>
        <v>22213</v>
      </c>
      <c r="D46" s="40">
        <f>C46-B46</f>
        <v>1234</v>
      </c>
      <c r="E46" s="40">
        <f>BELKNAP!E46+CARROLL!E46+CHESHIRE!E46+COOS!E46+GRAFTON!E46+HILLSBOROUGH!E46+MERRIMACK!E46+ROCKINGHAM!E46+STRAFFORD!E46+SULLIVAN!E46</f>
        <v>26059</v>
      </c>
      <c r="F46" s="70">
        <f>E46-C46</f>
        <v>3846</v>
      </c>
      <c r="G46" s="40">
        <f>BELKNAP!G46+CARROLL!G46+CHESHIRE!G46+COOS!G46+GRAFTON!G46+HILLSBOROUGH!G46+MERRIMACK!G46+ROCKINGHAM!G46+STRAFFORD!G46+SULLIVAN!G46</f>
        <v>37531.798260700263</v>
      </c>
      <c r="H46" s="40">
        <f>BELKNAP!H46+CARROLL!H46+CHESHIRE!H46+COOS!H46+GRAFTON!H46+HILLSBOROUGH!H46+MERRIMACK!H46+ROCKINGHAM!H46+STRAFFORD!H46+SULLIVAN!H46</f>
        <v>37531.798260700263</v>
      </c>
      <c r="I46" s="40">
        <f>BELKNAP!I46+CARROLL!I46+CHESHIRE!I46+COOS!I46+GRAFTON!I46+HILLSBOROUGH!I46+MERRIMACK!I46+ROCKINGHAM!I46+STRAFFORD!I46+SULLIVAN!I46</f>
        <v>37574.818262911685</v>
      </c>
    </row>
    <row r="47" spans="1:9" x14ac:dyDescent="0.25">
      <c r="A47" s="37" t="s">
        <v>115</v>
      </c>
      <c r="B47" s="43">
        <f>B45/B41</f>
        <v>0.72896399364365727</v>
      </c>
      <c r="C47" s="43">
        <f>C45/C41</f>
        <v>0.75696404735333378</v>
      </c>
      <c r="D47" s="37"/>
      <c r="E47" s="43">
        <f>E45/E41</f>
        <v>0.76776579627484176</v>
      </c>
      <c r="F47" s="37"/>
      <c r="G47" s="43">
        <f>G45/G41</f>
        <v>0.77517791864921359</v>
      </c>
      <c r="H47" s="43">
        <f>H45/H41</f>
        <v>0.77517791864921359</v>
      </c>
      <c r="I47" s="43">
        <f>I45/I41</f>
        <v>0.77517791864921359</v>
      </c>
    </row>
    <row r="48" spans="1:9" x14ac:dyDescent="0.25">
      <c r="A48" s="37" t="s">
        <v>116</v>
      </c>
      <c r="B48" s="43">
        <f>B46/B41</f>
        <v>0.27103600635634278</v>
      </c>
      <c r="C48" s="43">
        <f>C46/C41</f>
        <v>0.24303595264666622</v>
      </c>
      <c r="D48" s="37"/>
      <c r="E48" s="43">
        <f>E46/E41</f>
        <v>0.23223420372515818</v>
      </c>
      <c r="F48" s="37"/>
      <c r="G48" s="43">
        <f>G46/G41</f>
        <v>0.2248220813507863</v>
      </c>
      <c r="H48" s="43">
        <f>H46/H41</f>
        <v>0.2248220813507863</v>
      </c>
      <c r="I48" s="43">
        <f>I46/I41</f>
        <v>0.22507977874033597</v>
      </c>
    </row>
    <row r="49" spans="1:9" x14ac:dyDescent="0.25">
      <c r="A49" s="37"/>
      <c r="B49" s="134"/>
      <c r="C49" s="134"/>
      <c r="D49" s="40"/>
      <c r="E49" s="64"/>
      <c r="F49" s="37"/>
      <c r="G49" s="37"/>
      <c r="H49" s="37"/>
      <c r="I49" s="37"/>
    </row>
    <row r="50" spans="1:9" x14ac:dyDescent="0.25">
      <c r="A50" s="64" t="s">
        <v>129</v>
      </c>
      <c r="B50" s="40">
        <f>BELKNAP!B50+CARROLL!B50+CHESHIRE!B50+COOS!B50+GRAFTON!B50+HILLSBOROUGH!B50+MERRIMACK!B50+ROCKINGHAM!B50+STRAFFORD!B50+SULLIVAN!B50</f>
        <v>1109117</v>
      </c>
      <c r="C50" s="40">
        <f>BELKNAP!C50+CARROLL!C50+CHESHIRE!C50+COOS!C50+GRAFTON!C50+HILLSBOROUGH!C50+MERRIMACK!C50+ROCKINGHAM!C50+STRAFFORD!C50+SULLIVAN!C50</f>
        <v>1235725</v>
      </c>
      <c r="D50" s="40">
        <f>C50-B50</f>
        <v>126608</v>
      </c>
      <c r="E50" s="40">
        <f>BELKNAP!E50+CARROLL!E50+CHESHIRE!E50+COOS!E50+GRAFTON!E50+HILLSBOROUGH!E50+MERRIMACK!E50+ROCKINGHAM!E50+STRAFFORD!E50+SULLIVAN!E50</f>
        <v>1316470</v>
      </c>
      <c r="F50" s="70">
        <f>E50-C50</f>
        <v>80745</v>
      </c>
      <c r="G50" s="40">
        <f>BELKNAP!G50+CARROLL!G50+CHESHIRE!G50+COOS!G50+GRAFTON!G50+HILLSBOROUGH!G50+MERRIMACK!G50+ROCKINGHAM!G50+STRAFFORD!G50+SULLIVAN!G50</f>
        <v>1458793.5223773646</v>
      </c>
      <c r="H50" s="40">
        <f>BELKNAP!H50+CARROLL!H50+CHESHIRE!H50+COOS!H50+GRAFTON!H50+HILLSBOROUGH!H50+MERRIMACK!H50+ROCKINGHAM!H50+STRAFFORD!H50+SULLIVAN!H50</f>
        <v>1384773.3809110371</v>
      </c>
      <c r="I50" s="40">
        <f>BELKNAP!I50+CARROLL!I50+CHESHIRE!I50+COOS!I50+GRAFTON!I50+HILLSBOROUGH!I50+MERRIMACK!I50+ROCKINGHAM!I50+STRAFFORD!I50+SULLIVAN!I50</f>
        <v>1359837</v>
      </c>
    </row>
    <row r="51" spans="1:9" x14ac:dyDescent="0.25">
      <c r="A51" s="37" t="s">
        <v>96</v>
      </c>
      <c r="B51" s="40">
        <f>BELKNAP!B51+CARROLL!B51+CHESHIRE!B51+COOS!B51+GRAFTON!B51+HILLSBOROUGH!B51+MERRIMACK!B51+ROCKINGHAM!B51+STRAFFORD!B51+SULLIVAN!B51</f>
        <v>32074</v>
      </c>
      <c r="C51" s="40">
        <f>BELKNAP!C51+CARROLL!C51+CHESHIRE!C51+COOS!C51+GRAFTON!C51+HILLSBOROUGH!C51+MERRIMACK!C51+ROCKINGHAM!C51+STRAFFORD!C51+SULLIVAN!C51</f>
        <v>35539</v>
      </c>
      <c r="D51" s="40">
        <f>C51-B51</f>
        <v>3465</v>
      </c>
      <c r="E51" s="40">
        <f>BELKNAP!E51+CARROLL!E51+CHESHIRE!E51+COOS!E51+GRAFTON!E51+HILLSBOROUGH!E51+MERRIMACK!E51+ROCKINGHAM!E51+STRAFFORD!E51+SULLIVAN!E51</f>
        <v>40104</v>
      </c>
      <c r="F51" s="70">
        <f>E51-C51</f>
        <v>4565</v>
      </c>
      <c r="G51" s="40">
        <f>BELKNAP!G51+CARROLL!G51+CHESHIRE!G51+COOS!G51+GRAFTON!G51+HILLSBOROUGH!G51+MERRIMACK!G51+ROCKINGHAM!G51+STRAFFORD!G51+SULLIVAN!G51</f>
        <v>41117</v>
      </c>
      <c r="H51" s="40">
        <f>BELKNAP!H51+CARROLL!H51+CHESHIRE!H51+COOS!H51+GRAFTON!H51+HILLSBOROUGH!H51+MERRIMACK!H51+ROCKINGHAM!H51+STRAFFORD!H51+SULLIVAN!H51</f>
        <v>41117</v>
      </c>
      <c r="I51" s="40">
        <f>BELKNAP!I51+CARROLL!I51+CHESHIRE!I51+COOS!I51+GRAFTON!I51+HILLSBOROUGH!I51+MERRIMACK!I51+ROCKINGHAM!I51+STRAFFORD!I51+SULLIVAN!I51</f>
        <v>41117</v>
      </c>
    </row>
    <row r="52" spans="1:9" x14ac:dyDescent="0.25">
      <c r="A52" s="37" t="s">
        <v>95</v>
      </c>
      <c r="B52" s="40">
        <f>B50-B51</f>
        <v>1077043</v>
      </c>
      <c r="C52" s="40">
        <f>C50-C51</f>
        <v>1200186</v>
      </c>
      <c r="D52" s="40">
        <f>C52-B52</f>
        <v>123143</v>
      </c>
      <c r="E52" s="40">
        <f>E50-E51</f>
        <v>1276366</v>
      </c>
      <c r="F52" s="70">
        <f>E52-C52</f>
        <v>76180</v>
      </c>
      <c r="G52" s="40">
        <f>G50-G51</f>
        <v>1417676.5223773646</v>
      </c>
      <c r="H52" s="40">
        <f>H50-H51</f>
        <v>1343656.3809110371</v>
      </c>
      <c r="I52" s="40">
        <f>I50-I51</f>
        <v>1318720</v>
      </c>
    </row>
    <row r="53" spans="1:9" x14ac:dyDescent="0.25">
      <c r="A53" s="37" t="s">
        <v>126</v>
      </c>
      <c r="B53" s="142">
        <f>B52/B55</f>
        <v>2.6193571765575676</v>
      </c>
      <c r="C53" s="142">
        <f>C52/C55</f>
        <v>2.5288049455759092</v>
      </c>
      <c r="D53" s="37"/>
      <c r="E53" s="142">
        <f>E52/E55</f>
        <v>2.4594073294757144</v>
      </c>
      <c r="F53" s="37"/>
      <c r="G53" s="142">
        <f>G52/G55</f>
        <v>2.4011449631561503</v>
      </c>
      <c r="H53" s="142">
        <f>H52/H55</f>
        <v>2.3223549547243456</v>
      </c>
      <c r="I53" s="142">
        <f>I52/I55</f>
        <v>2.3268805592757085</v>
      </c>
    </row>
    <row r="54" spans="1:9" x14ac:dyDescent="0.25">
      <c r="A54" s="37"/>
      <c r="B54" s="43"/>
      <c r="C54" s="43"/>
      <c r="D54" s="37"/>
      <c r="E54" s="37"/>
      <c r="F54" s="37"/>
      <c r="G54" s="37"/>
      <c r="H54" s="37"/>
      <c r="I54" s="37"/>
    </row>
    <row r="55" spans="1:9" x14ac:dyDescent="0.25">
      <c r="A55" s="64" t="s">
        <v>127</v>
      </c>
      <c r="B55" s="40">
        <f>BELKNAP!B55+CARROLL!B55+CHESHIRE!B55+COOS!B55+GRAFTON!B55+HILLSBOROUGH!B55+MERRIMACK!B55+ROCKINGHAM!B55+STRAFFORD!B55+SULLIVAN!B55</f>
        <v>411186</v>
      </c>
      <c r="C55" s="40">
        <f>BELKNAP!C55+CARROLL!C55+CHESHIRE!C55+COOS!C55+GRAFTON!C55+HILLSBOROUGH!C55+MERRIMACK!C55+ROCKINGHAM!C55+STRAFFORD!C55+SULLIVAN!C55</f>
        <v>474606</v>
      </c>
      <c r="D55" s="40">
        <f>C55-B55</f>
        <v>63420</v>
      </c>
      <c r="E55" s="40">
        <f>BELKNAP!E55+CARROLL!E55+CHESHIRE!E55+COOS!E55+GRAFTON!E55+HILLSBOROUGH!E55+MERRIMACK!E55+ROCKINGHAM!E55+STRAFFORD!E55+SULLIVAN!E55</f>
        <v>518973</v>
      </c>
      <c r="F55" s="70">
        <f>E55-C55</f>
        <v>44367</v>
      </c>
      <c r="G55" s="40">
        <f>BELKNAP!G55+CARROLL!G55+CHESHIRE!G55+COOS!G55+GRAFTON!G55+HILLSBOROUGH!G55+MERRIMACK!G55+ROCKINGHAM!G55+STRAFFORD!G55+SULLIVAN!G55</f>
        <v>590416.88200029382</v>
      </c>
      <c r="H55" s="40">
        <f>BELKNAP!H55+CARROLL!H55+CHESHIRE!H55+COOS!H55+GRAFTON!H55+HILLSBOROUGH!H55+MERRIMACK!H55+ROCKINGHAM!H55+STRAFFORD!H55+SULLIVAN!H55</f>
        <v>578574.94100014691</v>
      </c>
      <c r="I55" s="40">
        <f>BELKNAP!I55+CARROLL!I55+CHESHIRE!I55+COOS!I55+GRAFTON!I55+HILLSBOROUGH!I55+MERRIMACK!I55+ROCKINGHAM!I55+STRAFFORD!I55+SULLIVAN!I55</f>
        <v>566733</v>
      </c>
    </row>
    <row r="56" spans="1:9" x14ac:dyDescent="0.25">
      <c r="A56" s="37" t="s">
        <v>101</v>
      </c>
      <c r="B56" s="40">
        <f>BELKNAP!B56+CARROLL!B56+CHESHIRE!B56+COOS!B56+GRAFTON!B56+HILLSBOROUGH!B56+MERRIMACK!B56+ROCKINGHAM!B56+STRAFFORD!B56+SULLIVAN!B56</f>
        <v>280372</v>
      </c>
      <c r="C56" s="40">
        <f>BELKNAP!C56+CARROLL!C56+CHESHIRE!C56+COOS!C56+GRAFTON!C56+HILLSBOROUGH!C56+MERRIMACK!C56+ROCKINGHAM!C56+STRAFFORD!C56+SULLIVAN!C56</f>
        <v>330700</v>
      </c>
      <c r="D56" s="40">
        <f>C56-B56</f>
        <v>50328</v>
      </c>
      <c r="E56" s="40">
        <f>BELKNAP!E56+CARROLL!E56+CHESHIRE!E56+COOS!E56+GRAFTON!E56+HILLSBOROUGH!E56+MERRIMACK!E56+ROCKINGHAM!E56+STRAFFORD!E56+SULLIVAN!E56</f>
        <v>368316</v>
      </c>
      <c r="F56" s="70">
        <f>E56-C56</f>
        <v>37616</v>
      </c>
      <c r="G56" s="40">
        <f>BELKNAP!G56+CARROLL!G56+CHESHIRE!G56+COOS!G56+GRAFTON!G56+HILLSBOROUGH!G56+MERRIMACK!G56+ROCKINGHAM!G56+STRAFFORD!G56+SULLIVAN!G56</f>
        <v>422499.30587811483</v>
      </c>
      <c r="H56" s="40">
        <f>BELKNAP!H56+CARROLL!H56+CHESHIRE!H56+COOS!H56+GRAFTON!H56+HILLSBOROUGH!H56+MERRIMACK!H56+ROCKINGHAM!H56+STRAFFORD!H56+SULLIVAN!H56</f>
        <v>414127.01803081844</v>
      </c>
      <c r="I56" s="40">
        <f>BELKNAP!I56+CARROLL!I56+CHESHIRE!I56+COOS!I56+GRAFTON!I56+HILLSBOROUGH!I56+MERRIMACK!I56+ROCKINGHAM!I56+STRAFFORD!I56+SULLIVAN!I56</f>
        <v>405754.73018352204</v>
      </c>
    </row>
    <row r="57" spans="1:9" x14ac:dyDescent="0.25">
      <c r="A57" s="37" t="s">
        <v>102</v>
      </c>
      <c r="B57" s="40">
        <f>BELKNAP!B57+CARROLL!B57+CHESHIRE!B57+COOS!B57+GRAFTON!B57+HILLSBOROUGH!B57+MERRIMACK!B57+ROCKINGHAM!B57+STRAFFORD!B57+SULLIVAN!B57</f>
        <v>130814</v>
      </c>
      <c r="C57" s="40">
        <f>BELKNAP!C57+CARROLL!C57+CHESHIRE!C57+COOS!C57+GRAFTON!C57+HILLSBOROUGH!C57+MERRIMACK!C57+ROCKINGHAM!C57+STRAFFORD!C57+SULLIVAN!C57</f>
        <v>143906</v>
      </c>
      <c r="D57" s="40">
        <f>C57-B57</f>
        <v>13092</v>
      </c>
      <c r="E57" s="40">
        <f>BELKNAP!E57+CARROLL!E57+CHESHIRE!E57+COOS!E57+GRAFTON!E57+HILLSBOROUGH!E57+MERRIMACK!E57+ROCKINGHAM!E57+STRAFFORD!E57+SULLIVAN!E57</f>
        <v>150657</v>
      </c>
      <c r="F57" s="70">
        <f>E57-C57</f>
        <v>6751</v>
      </c>
      <c r="G57" s="40">
        <f>BELKNAP!G57+CARROLL!G57+CHESHIRE!G57+COOS!G57+GRAFTON!G57+HILLSBOROUGH!G57+MERRIMACK!G57+ROCKINGHAM!G57+STRAFFORD!G57+SULLIVAN!G57</f>
        <v>167917.57612217899</v>
      </c>
      <c r="H57" s="40">
        <f>BELKNAP!H57+CARROLL!H57+CHESHIRE!H57+COOS!H57+GRAFTON!H57+HILLSBOROUGH!H57+MERRIMACK!H57+ROCKINGHAM!H57+STRAFFORD!H57+SULLIVAN!H57</f>
        <v>164447.92296932847</v>
      </c>
      <c r="I57" s="40">
        <f>BELKNAP!I57+CARROLL!I57+CHESHIRE!I57+COOS!I57+GRAFTON!I57+HILLSBOROUGH!I57+MERRIMACK!I57+ROCKINGHAM!I57+STRAFFORD!I57+SULLIVAN!I57</f>
        <v>160978.26981647796</v>
      </c>
    </row>
    <row r="58" spans="1:9" x14ac:dyDescent="0.25">
      <c r="A58" s="37" t="s">
        <v>103</v>
      </c>
      <c r="B58" s="43">
        <f>B56/B55</f>
        <v>0.68186173653772264</v>
      </c>
      <c r="C58" s="43">
        <f>C56/C55</f>
        <v>0.69678849403505227</v>
      </c>
      <c r="D58" s="37"/>
      <c r="E58" s="43">
        <f>E56/E55</f>
        <v>0.7097016607800406</v>
      </c>
      <c r="F58" s="37"/>
      <c r="G58" s="43">
        <f>G56/G55</f>
        <v>0.71559489363975293</v>
      </c>
      <c r="H58" s="43">
        <f>H56/H55</f>
        <v>0.71577074754558589</v>
      </c>
      <c r="I58" s="43">
        <f>I56/I55</f>
        <v>0.71595395042025445</v>
      </c>
    </row>
    <row r="59" spans="1:9" x14ac:dyDescent="0.25">
      <c r="A59" s="37" t="s">
        <v>104</v>
      </c>
      <c r="B59" s="43">
        <f>B57/B55</f>
        <v>0.31813826346227742</v>
      </c>
      <c r="C59" s="43">
        <f>C57/C55</f>
        <v>0.30321150596494778</v>
      </c>
      <c r="D59" s="37"/>
      <c r="E59" s="43">
        <f>E57/E55</f>
        <v>0.2902983392199594</v>
      </c>
      <c r="F59" s="37"/>
      <c r="G59" s="43">
        <f>1-G58</f>
        <v>0.28440510636024707</v>
      </c>
      <c r="H59" s="43">
        <f>1-H58</f>
        <v>0.28422925245441411</v>
      </c>
      <c r="I59" s="43">
        <f>1-I58</f>
        <v>0.28404604957974555</v>
      </c>
    </row>
    <row r="60" spans="1:9" x14ac:dyDescent="0.25">
      <c r="A60" s="37"/>
      <c r="B60" s="43"/>
      <c r="C60" s="43"/>
      <c r="D60" s="37"/>
      <c r="E60" s="37"/>
      <c r="F60" s="37"/>
      <c r="G60" s="37"/>
      <c r="H60" s="37"/>
      <c r="I60" s="37"/>
    </row>
    <row r="61" spans="1:9" x14ac:dyDescent="0.25">
      <c r="A61" s="64" t="s">
        <v>93</v>
      </c>
      <c r="B61" s="43"/>
      <c r="C61" s="43"/>
      <c r="D61" s="37"/>
      <c r="E61" s="37"/>
      <c r="F61" s="37"/>
      <c r="G61" s="37"/>
      <c r="H61" s="37"/>
      <c r="I61" s="37"/>
    </row>
    <row r="62" spans="1:9" x14ac:dyDescent="0.25">
      <c r="A62" s="37" t="s">
        <v>1</v>
      </c>
      <c r="B62" s="40">
        <f>BELKNAP!B62+CARROLL!B62+CHESHIRE!B62+COOS!B62+GRAFTON!B62+HILLSBOROUGH!B62+MERRIMACK!B62+ROCKINGHAM!B62+STRAFFORD!B62+SULLIVAN!B62</f>
        <v>7648</v>
      </c>
      <c r="C62" s="40">
        <f>BELKNAP!C62+CARROLL!C62+CHESHIRE!C62+COOS!C62+GRAFTON!C62+HILLSBOROUGH!C62+MERRIMACK!C62+ROCKINGHAM!C62+STRAFFORD!C62+SULLIVAN!C62</f>
        <v>3252</v>
      </c>
      <c r="D62" s="40">
        <f t="shared" ref="D62:D68" si="0">C62-B62</f>
        <v>-4396</v>
      </c>
      <c r="E62" s="40">
        <f>BELKNAP!E62+CARROLL!E62+CHESHIRE!E62+COOS!E62+GRAFTON!E62+HILLSBOROUGH!E62+MERRIMACK!E62+ROCKINGHAM!E62+STRAFFORD!E62+SULLIVAN!E62</f>
        <v>7521</v>
      </c>
      <c r="F62" s="70">
        <f t="shared" ref="F62:F68" si="1">E62-C62</f>
        <v>4269</v>
      </c>
      <c r="G62" s="40">
        <f>BELKNAP!G62+CARROLL!G62+CHESHIRE!G62+COOS!G62+GRAFTON!G62+HILLSBOROUGH!G62+MERRIMACK!G62+ROCKINGHAM!G62+STRAFFORD!G62+SULLIVAN!G62</f>
        <v>4267.6697563446032</v>
      </c>
      <c r="H62" s="40">
        <f>BELKNAP!H62+CARROLL!H62+CHESHIRE!H62+COOS!H62+GRAFTON!H62+HILLSBOROUGH!H62+MERRIMACK!H62+ROCKINGHAM!H62+STRAFFORD!H62+SULLIVAN!H62</f>
        <v>4183.101192230486</v>
      </c>
      <c r="I62" s="40">
        <f>BELKNAP!I62+CARROLL!I62+CHESHIRE!I62+COOS!I62+GRAFTON!I62+HILLSBOROUGH!I62+MERRIMACK!I62+ROCKINGHAM!I62+STRAFFORD!I62+SULLIVAN!I62</f>
        <v>4098.5326281163871</v>
      </c>
    </row>
    <row r="63" spans="1:9" x14ac:dyDescent="0.25">
      <c r="A63" s="37" t="s">
        <v>2</v>
      </c>
      <c r="B63" s="40">
        <f>BELKNAP!B63+CARROLL!B63+CHESHIRE!B63+COOS!B63+GRAFTON!B63+HILLSBOROUGH!B63+MERRIMACK!B63+ROCKINGHAM!B63+STRAFFORD!B63+SULLIVAN!B63</f>
        <v>17435</v>
      </c>
      <c r="C63" s="40">
        <f>BELKNAP!C63+CARROLL!C63+CHESHIRE!C63+COOS!C63+GRAFTON!C63+HILLSBOROUGH!C63+MERRIMACK!C63+ROCKINGHAM!C63+STRAFFORD!C63+SULLIVAN!C63</f>
        <v>5218</v>
      </c>
      <c r="D63" s="40">
        <f t="shared" si="0"/>
        <v>-12217</v>
      </c>
      <c r="E63" s="40">
        <f>BELKNAP!E63+CARROLL!E63+CHESHIRE!E63+COOS!E63+GRAFTON!E63+HILLSBOROUGH!E63+MERRIMACK!E63+ROCKINGHAM!E63+STRAFFORD!E63+SULLIVAN!E63</f>
        <v>13293</v>
      </c>
      <c r="F63" s="70">
        <f t="shared" si="1"/>
        <v>8075</v>
      </c>
      <c r="G63" s="40">
        <f>BELKNAP!G63+CARROLL!G63+CHESHIRE!G63+COOS!G63+GRAFTON!G63+HILLSBOROUGH!G63+MERRIMACK!G63+ROCKINGHAM!G63+STRAFFORD!G63+SULLIVAN!G63</f>
        <v>6996.565671757463</v>
      </c>
      <c r="H63" s="40">
        <f>BELKNAP!H63+CARROLL!H63+CHESHIRE!H63+COOS!H63+GRAFTON!H63+HILLSBOROUGH!H63+MERRIMACK!H63+ROCKINGHAM!H63+STRAFFORD!H63+SULLIVAN!H63</f>
        <v>6851.9967903886973</v>
      </c>
      <c r="I63" s="40">
        <f>BELKNAP!I63+CARROLL!I63+CHESHIRE!I63+COOS!I63+GRAFTON!I63+HILLSBOROUGH!I63+MERRIMACK!I63+ROCKINGHAM!I63+STRAFFORD!I63+SULLIVAN!I63</f>
        <v>6707.4279090199225</v>
      </c>
    </row>
    <row r="64" spans="1:9" x14ac:dyDescent="0.25">
      <c r="A64" s="37" t="s">
        <v>8</v>
      </c>
      <c r="B64" s="40">
        <f>BELKNAP!B64+CARROLL!B64+CHESHIRE!B64+COOS!B64+GRAFTON!B64+HILLSBOROUGH!B64+MERRIMACK!B64+ROCKINGHAM!B64+STRAFFORD!B64+SULLIVAN!B64</f>
        <v>3218</v>
      </c>
      <c r="C64" s="40">
        <f>BELKNAP!C64+CARROLL!C64+CHESHIRE!C64+COOS!C64+GRAFTON!C64+HILLSBOROUGH!C64+MERRIMACK!C64+ROCKINGHAM!C64+STRAFFORD!C64+SULLIVAN!C64</f>
        <v>1898</v>
      </c>
      <c r="D64" s="40">
        <f t="shared" si="0"/>
        <v>-1320</v>
      </c>
      <c r="E64" s="40">
        <f>BELKNAP!E64+CARROLL!E64+CHESHIRE!E64+COOS!E64+GRAFTON!E64+HILLSBOROUGH!E64+MERRIMACK!E64+ROCKINGHAM!E64+STRAFFORD!E64+SULLIVAN!E64</f>
        <v>2180</v>
      </c>
      <c r="F64" s="70">
        <f t="shared" si="1"/>
        <v>282</v>
      </c>
      <c r="G64" s="140" t="s">
        <v>32</v>
      </c>
      <c r="H64" s="40"/>
      <c r="I64" s="40"/>
    </row>
    <row r="65" spans="1:12" x14ac:dyDescent="0.25">
      <c r="A65" s="37" t="s">
        <v>10</v>
      </c>
      <c r="B65" s="40">
        <f>BELKNAP!B65+CARROLL!B65+CHESHIRE!B65+COOS!B65+GRAFTON!B65+HILLSBOROUGH!B65+MERRIMACK!B65+ROCKINGHAM!B65+STRAFFORD!B65+SULLIVAN!B65</f>
        <v>57135</v>
      </c>
      <c r="C65" s="40">
        <f>BELKNAP!C65+CARROLL!C65+CHESHIRE!C65+COOS!C65+GRAFTON!C65+HILLSBOROUGH!C65+MERRIMACK!C65+ROCKINGHAM!C65+STRAFFORD!C65+SULLIVAN!C65</f>
        <v>56413</v>
      </c>
      <c r="D65" s="40">
        <f t="shared" si="0"/>
        <v>-722</v>
      </c>
      <c r="E65" s="40">
        <f>BELKNAP!E65+CARROLL!E65+CHESHIRE!E65+COOS!E65+GRAFTON!E65+HILLSBOROUGH!E65+MERRIMACK!E65+ROCKINGHAM!E65+STRAFFORD!E65+SULLIVAN!E65</f>
        <v>63910</v>
      </c>
      <c r="F65" s="70">
        <f t="shared" si="1"/>
        <v>7497</v>
      </c>
      <c r="G65" s="140" t="s">
        <v>32</v>
      </c>
      <c r="H65" s="40"/>
      <c r="I65" s="40"/>
    </row>
    <row r="66" spans="1:12" x14ac:dyDescent="0.25">
      <c r="A66" s="37" t="s">
        <v>7</v>
      </c>
      <c r="B66" s="40">
        <f>BELKNAP!B66+CARROLL!B66+CHESHIRE!B66+COOS!B66+GRAFTON!B66+HILLSBOROUGH!B66+MERRIMACK!B66+ROCKINGHAM!B66+STRAFFORD!B66+SULLIVAN!B66</f>
        <v>7282</v>
      </c>
      <c r="C66" s="40">
        <f>BELKNAP!C66+CARROLL!C66+CHESHIRE!C66+COOS!C66+GRAFTON!C66+HILLSBOROUGH!C66+MERRIMACK!C66+ROCKINGHAM!C66+STRAFFORD!C66+SULLIVAN!C66</f>
        <v>5637</v>
      </c>
      <c r="D66" s="40">
        <f t="shared" si="0"/>
        <v>-1645</v>
      </c>
      <c r="E66" s="40">
        <f>BELKNAP!E66+CARROLL!E66+CHESHIRE!E66+COOS!E66+GRAFTON!E66+HILLSBOROUGH!E66+MERRIMACK!E66+ROCKINGHAM!E66+STRAFFORD!E66+SULLIVAN!E66</f>
        <v>8850</v>
      </c>
      <c r="F66" s="70">
        <f t="shared" si="1"/>
        <v>3213</v>
      </c>
      <c r="G66" s="140" t="s">
        <v>32</v>
      </c>
      <c r="H66" s="40"/>
      <c r="I66" s="40"/>
    </row>
    <row r="67" spans="1:12" x14ac:dyDescent="0.25">
      <c r="A67" s="37" t="s">
        <v>11</v>
      </c>
      <c r="B67" s="40">
        <f>BELKNAP!B67+CARROLL!B67+CHESHIRE!B67+COOS!B67+GRAFTON!B67+HILLSBOROUGH!B67+MERRIMACK!B67+ROCKINGHAM!B67+STRAFFORD!B67+SULLIVAN!B67</f>
        <v>92718</v>
      </c>
      <c r="C67" s="40">
        <f>BELKNAP!C67+CARROLL!C67+CHESHIRE!C67+COOS!C67+GRAFTON!C67+HILLSBOROUGH!C67+MERRIMACK!C67+ROCKINGHAM!C67+STRAFFORD!C67+SULLIVAN!C67</f>
        <v>72418</v>
      </c>
      <c r="D67" s="40">
        <f t="shared" si="0"/>
        <v>-20300</v>
      </c>
      <c r="E67" s="40">
        <f>BELKNAP!E67+CARROLL!E67+CHESHIRE!E67+COOS!E67+GRAFTON!E67+HILLSBOROUGH!E67+MERRIMACK!E67+ROCKINGHAM!E67+STRAFFORD!E67+SULLIVAN!E67</f>
        <v>95781</v>
      </c>
      <c r="F67" s="70">
        <f t="shared" si="1"/>
        <v>23363</v>
      </c>
      <c r="G67" s="140" t="s">
        <v>32</v>
      </c>
      <c r="H67" s="40"/>
      <c r="I67" s="40"/>
    </row>
    <row r="68" spans="1:12" x14ac:dyDescent="0.25">
      <c r="A68" s="37" t="s">
        <v>9</v>
      </c>
      <c r="B68" s="40">
        <f>BELKNAP!B68+CARROLL!B68+CHESHIRE!B68+COOS!B68+GRAFTON!B68+HILLSBOROUGH!B68+MERRIMACK!B68+ROCKINGHAM!B68+STRAFFORD!B68+SULLIVAN!B68</f>
        <v>502064</v>
      </c>
      <c r="C68" s="40">
        <f>BELKNAP!C68+CARROLL!C68+CHESHIRE!C68+COOS!C68+GRAFTON!C68+HILLSBOROUGH!C68+MERRIMACK!C68+ROCKINGHAM!C68+STRAFFORD!C68+SULLIVAN!C68</f>
        <v>544395</v>
      </c>
      <c r="D68" s="40">
        <f t="shared" si="0"/>
        <v>42331</v>
      </c>
      <c r="E68" s="40">
        <f>BELKNAP!E68+CARROLL!E68+CHESHIRE!E68+COOS!E68+GRAFTON!E68+HILLSBOROUGH!E68+MERRIMACK!E68+ROCKINGHAM!E68+STRAFFORD!E68+SULLIVAN!E68</f>
        <v>614754</v>
      </c>
      <c r="F68" s="70">
        <f t="shared" si="1"/>
        <v>70359</v>
      </c>
      <c r="G68" s="140" t="s">
        <v>32</v>
      </c>
      <c r="H68" s="40"/>
      <c r="I68" s="40"/>
    </row>
    <row r="69" spans="1:12" x14ac:dyDescent="0.25">
      <c r="A69" s="37"/>
      <c r="B69" s="43"/>
      <c r="C69" s="43"/>
      <c r="D69" s="40"/>
      <c r="E69" s="40"/>
      <c r="F69" s="37"/>
      <c r="G69" s="140"/>
      <c r="H69" s="37"/>
      <c r="I69" s="37"/>
    </row>
    <row r="70" spans="1:12" x14ac:dyDescent="0.25">
      <c r="A70" s="37" t="s">
        <v>4</v>
      </c>
      <c r="B70" s="43">
        <f>B62/B81</f>
        <v>2.6553711547809181E-2</v>
      </c>
      <c r="C70" s="43">
        <f>C62/C81</f>
        <v>9.7379264085856645E-3</v>
      </c>
      <c r="D70" s="42"/>
      <c r="E70" s="43">
        <f>E62/E81</f>
        <v>2.0011334700947486E-2</v>
      </c>
      <c r="F70" s="37"/>
      <c r="G70" s="43">
        <f t="shared" ref="G70:I71" si="2">G62/G81</f>
        <v>9.9648972175507954E-3</v>
      </c>
      <c r="H70" s="43">
        <f t="shared" si="2"/>
        <v>9.9641900959027228E-3</v>
      </c>
      <c r="I70" s="43">
        <f t="shared" si="2"/>
        <v>9.9634538995973954E-3</v>
      </c>
    </row>
    <row r="71" spans="1:12" x14ac:dyDescent="0.25">
      <c r="A71" s="37" t="s">
        <v>3</v>
      </c>
      <c r="B71" s="43">
        <f>B63/B82</f>
        <v>0.11760618958643904</v>
      </c>
      <c r="C71" s="43">
        <f>C63/C82</f>
        <v>3.4991014189533542E-2</v>
      </c>
      <c r="D71" s="42"/>
      <c r="E71" s="43">
        <f>E63/E82</f>
        <v>8.1079597438243362E-2</v>
      </c>
      <c r="F71" s="37"/>
      <c r="G71" s="43">
        <f t="shared" si="2"/>
        <v>3.9702290939644093E-2</v>
      </c>
      <c r="H71" s="43">
        <f t="shared" si="2"/>
        <v>3.9696057365852397E-2</v>
      </c>
      <c r="I71" s="43">
        <f t="shared" si="2"/>
        <v>3.9689557166261852E-2</v>
      </c>
    </row>
    <row r="72" spans="1:12" x14ac:dyDescent="0.25">
      <c r="A72" s="37" t="s">
        <v>5</v>
      </c>
      <c r="B72" s="43">
        <f>(B62+B63)/B83</f>
        <v>5.7494344085873623E-2</v>
      </c>
      <c r="C72" s="43">
        <f>(C62+C63)/C83</f>
        <v>1.7533472993897441E-2</v>
      </c>
      <c r="D72" s="43"/>
      <c r="E72" s="43">
        <f>(E62+E63)/E83</f>
        <v>3.8559654085778279E-2</v>
      </c>
      <c r="F72" s="37"/>
      <c r="G72" s="43">
        <f>(G62+G63)/G83</f>
        <v>1.8634092217158268E-2</v>
      </c>
      <c r="H72" s="43">
        <f>(H62+H63)/H83</f>
        <v>1.8626996202204753E-2</v>
      </c>
      <c r="I72" s="43">
        <f>(I62+I63)/I83</f>
        <v>1.8619604999946075E-2</v>
      </c>
    </row>
    <row r="73" spans="1:12" x14ac:dyDescent="0.25">
      <c r="A73" s="37"/>
      <c r="B73" s="43"/>
      <c r="C73" s="43"/>
      <c r="D73" s="42"/>
      <c r="E73" s="42"/>
      <c r="F73" s="37"/>
      <c r="G73" s="37"/>
      <c r="H73" s="37"/>
      <c r="I73" s="37"/>
    </row>
    <row r="74" spans="1:12" x14ac:dyDescent="0.25">
      <c r="A74" s="37"/>
      <c r="B74" s="43"/>
      <c r="C74" s="43"/>
      <c r="D74" s="42"/>
      <c r="E74" s="42"/>
      <c r="F74" s="37"/>
      <c r="G74" s="37"/>
      <c r="H74" s="37"/>
      <c r="I74" s="37"/>
    </row>
    <row r="75" spans="1:12" x14ac:dyDescent="0.25">
      <c r="A75" s="37" t="s">
        <v>38</v>
      </c>
      <c r="B75" s="43"/>
      <c r="C75" s="43"/>
      <c r="D75" s="42"/>
      <c r="E75" s="42"/>
      <c r="F75" s="37"/>
      <c r="G75" s="40">
        <f>BELKNAP!G75+CARROLL!G75+CHESHIRE!G75+COOS!G75+GRAFTON!G75+HILLSBOROUGH!G75+MERRIMACK!G75+ROCKINGHAM!G75+STRAFFORD!G75+SULLIVAN!G75</f>
        <v>1503.348</v>
      </c>
      <c r="H75" s="40">
        <f>BELKNAP!H75+CARROLL!H75+CHESHIRE!H75+COOS!H75+GRAFTON!H75+HILLSBOROUGH!H75+MERRIMACK!H75+ROCKINGHAM!H75+STRAFFORD!H75+SULLIVAN!H75</f>
        <v>1503.348</v>
      </c>
      <c r="I75" s="40">
        <f>BELKNAP!I75+CARROLL!I75+CHESHIRE!I75+COOS!I75+GRAFTON!I75+HILLSBOROUGH!I75+MERRIMACK!I75+ROCKINGHAM!I75+STRAFFORD!I75+SULLIVAN!I75</f>
        <v>1503.348</v>
      </c>
    </row>
    <row r="76" spans="1:12" x14ac:dyDescent="0.25">
      <c r="A76" s="37" t="s">
        <v>39</v>
      </c>
      <c r="B76" s="43"/>
      <c r="C76" s="43"/>
      <c r="D76" s="42"/>
      <c r="E76" s="42"/>
      <c r="F76" s="37"/>
      <c r="G76" s="40">
        <f>BELKNAP!G76+CARROLL!G76+CHESHIRE!G76+COOS!G76+GRAFTON!G76+HILLSBOROUGH!G76+MERRIMACK!G76+ROCKINGHAM!G76+STRAFFORD!G76+SULLIVAN!G76</f>
        <v>1311.6000000000001</v>
      </c>
      <c r="H76" s="40">
        <f>BELKNAP!H76+CARROLL!H76+CHESHIRE!H76+COOS!H76+GRAFTON!H76+HILLSBOROUGH!H76+MERRIMACK!H76+ROCKINGHAM!H76+STRAFFORD!H76+SULLIVAN!H76</f>
        <v>1311.6000000000001</v>
      </c>
      <c r="I76" s="40">
        <f>BELKNAP!I76+CARROLL!I76+CHESHIRE!I76+COOS!I76+GRAFTON!I76+HILLSBOROUGH!I76+MERRIMACK!I76+ROCKINGHAM!I76+STRAFFORD!I76+SULLIVAN!I76</f>
        <v>1311.6000000000001</v>
      </c>
    </row>
    <row r="77" spans="1:12" x14ac:dyDescent="0.25">
      <c r="A77" s="37" t="s">
        <v>47</v>
      </c>
      <c r="B77" s="43"/>
      <c r="C77" s="43"/>
      <c r="D77" s="42"/>
      <c r="E77" s="42"/>
      <c r="F77" s="37"/>
      <c r="G77" s="40">
        <f>G75+G76</f>
        <v>2814.9480000000003</v>
      </c>
      <c r="H77" s="40">
        <f>H75+H76</f>
        <v>2814.9480000000003</v>
      </c>
      <c r="I77" s="40">
        <f>I75+I76</f>
        <v>2814.9480000000003</v>
      </c>
    </row>
    <row r="78" spans="1:12" x14ac:dyDescent="0.25">
      <c r="A78" s="37"/>
      <c r="B78" s="43"/>
      <c r="C78" s="43"/>
      <c r="D78" s="42"/>
      <c r="E78" s="42"/>
      <c r="F78" s="37"/>
      <c r="G78" s="154"/>
      <c r="H78" s="154"/>
      <c r="I78" s="154"/>
    </row>
    <row r="79" spans="1:12" x14ac:dyDescent="0.25">
      <c r="A79" s="37"/>
      <c r="B79" s="43"/>
      <c r="C79" s="43"/>
      <c r="D79" s="42"/>
      <c r="E79" s="42"/>
      <c r="F79" s="143"/>
      <c r="G79" s="155">
        <v>2020</v>
      </c>
      <c r="H79" s="155">
        <v>2020</v>
      </c>
      <c r="I79" s="155">
        <v>2020</v>
      </c>
    </row>
    <row r="80" spans="1:12" ht="26.25" x14ac:dyDescent="0.25">
      <c r="A80" s="151" t="s">
        <v>64</v>
      </c>
      <c r="B80" s="151">
        <v>1990</v>
      </c>
      <c r="C80" s="151">
        <v>2000</v>
      </c>
      <c r="D80" s="152" t="s">
        <v>117</v>
      </c>
      <c r="E80" s="151">
        <v>2010</v>
      </c>
      <c r="F80" s="144" t="s">
        <v>44</v>
      </c>
      <c r="G80" s="156" t="s">
        <v>35</v>
      </c>
      <c r="H80" s="157" t="s">
        <v>36</v>
      </c>
      <c r="I80" s="156" t="s">
        <v>37</v>
      </c>
      <c r="K80" s="189"/>
      <c r="L80" s="190"/>
    </row>
    <row r="81" spans="1:16" x14ac:dyDescent="0.25">
      <c r="A81" s="37" t="s">
        <v>13</v>
      </c>
      <c r="B81" s="40">
        <f>B56+B62</f>
        <v>288020</v>
      </c>
      <c r="C81" s="40">
        <f>C56+C62</f>
        <v>333952</v>
      </c>
      <c r="D81" s="40">
        <f>C81-B81</f>
        <v>45932</v>
      </c>
      <c r="E81" s="40">
        <f>E56+E62</f>
        <v>375837</v>
      </c>
      <c r="F81" s="145" t="s">
        <v>41</v>
      </c>
      <c r="G81" s="158">
        <f t="shared" ref="G81:I82" si="3">G56+G62+G75</f>
        <v>428270.3236344594</v>
      </c>
      <c r="H81" s="158">
        <f t="shared" si="3"/>
        <v>419813.46722304891</v>
      </c>
      <c r="I81" s="158">
        <f t="shared" si="3"/>
        <v>411356.61081163841</v>
      </c>
      <c r="K81" s="14"/>
      <c r="L81" s="14"/>
    </row>
    <row r="82" spans="1:16" x14ac:dyDescent="0.25">
      <c r="A82" s="37" t="s">
        <v>14</v>
      </c>
      <c r="B82" s="40">
        <f>B57+B63</f>
        <v>148249</v>
      </c>
      <c r="C82" s="40">
        <f>C57+C63</f>
        <v>149124</v>
      </c>
      <c r="D82" s="40">
        <f>C82-B82</f>
        <v>875</v>
      </c>
      <c r="E82" s="40">
        <f>E57+E63</f>
        <v>163950</v>
      </c>
      <c r="F82" s="145" t="s">
        <v>43</v>
      </c>
      <c r="G82" s="158">
        <f t="shared" si="3"/>
        <v>176225.74179393647</v>
      </c>
      <c r="H82" s="158">
        <f t="shared" si="3"/>
        <v>172611.51975971716</v>
      </c>
      <c r="I82" s="158">
        <f t="shared" si="3"/>
        <v>168997.29772549789</v>
      </c>
      <c r="K82" s="14"/>
      <c r="L82" s="14"/>
    </row>
    <row r="83" spans="1:16" x14ac:dyDescent="0.25">
      <c r="A83" s="37" t="s">
        <v>12</v>
      </c>
      <c r="B83" s="40">
        <f>B81+B82</f>
        <v>436269</v>
      </c>
      <c r="C83" s="40">
        <f>C81+C82</f>
        <v>483076</v>
      </c>
      <c r="D83" s="40">
        <f>C83-B83</f>
        <v>46807</v>
      </c>
      <c r="E83" s="40">
        <f>E81+E82</f>
        <v>539787</v>
      </c>
      <c r="F83" s="145" t="s">
        <v>42</v>
      </c>
      <c r="G83" s="158">
        <f>G81+G82</f>
        <v>604496.06542839587</v>
      </c>
      <c r="H83" s="158">
        <f>H81+H82</f>
        <v>592424.98698276607</v>
      </c>
      <c r="I83" s="158">
        <f>I81+I82</f>
        <v>580353.90853713627</v>
      </c>
      <c r="K83" s="185"/>
      <c r="L83" s="185"/>
    </row>
    <row r="84" spans="1:16" x14ac:dyDescent="0.25">
      <c r="A84" s="37"/>
      <c r="B84" s="40"/>
      <c r="C84" s="41"/>
      <c r="D84" s="40"/>
      <c r="E84" s="40"/>
      <c r="F84" s="146" t="s">
        <v>205</v>
      </c>
      <c r="G84" s="159"/>
      <c r="H84" s="37"/>
      <c r="I84" s="160"/>
      <c r="K84" s="247" t="s">
        <v>156</v>
      </c>
      <c r="L84" s="248"/>
      <c r="M84" s="249"/>
    </row>
    <row r="85" spans="1:16" ht="26.25" x14ac:dyDescent="0.25">
      <c r="A85" s="37"/>
      <c r="B85" s="37"/>
      <c r="C85" s="37"/>
      <c r="D85" s="37"/>
      <c r="E85" s="37"/>
      <c r="F85" s="145" t="s">
        <v>44</v>
      </c>
      <c r="G85" s="156" t="s">
        <v>35</v>
      </c>
      <c r="H85" s="157" t="s">
        <v>36</v>
      </c>
      <c r="I85" s="156" t="s">
        <v>37</v>
      </c>
      <c r="K85" s="156" t="s">
        <v>35</v>
      </c>
      <c r="L85" s="157" t="s">
        <v>36</v>
      </c>
      <c r="M85" s="156" t="s">
        <v>37</v>
      </c>
    </row>
    <row r="86" spans="1:16" x14ac:dyDescent="0.25">
      <c r="A86" s="37"/>
      <c r="B86" s="37"/>
      <c r="C86" s="37"/>
      <c r="D86" s="40"/>
      <c r="E86" s="37"/>
      <c r="F86" s="145" t="s">
        <v>41</v>
      </c>
      <c r="G86" s="158">
        <f>G81-E81</f>
        <v>52433.323634459404</v>
      </c>
      <c r="H86" s="158">
        <f>H81-E81</f>
        <v>43976.467223048909</v>
      </c>
      <c r="I86" s="158">
        <f>I81-E81</f>
        <v>35519.610811638413</v>
      </c>
      <c r="K86" s="186">
        <f t="shared" ref="K86:M88" si="4">G86/10</f>
        <v>5243.3323634459402</v>
      </c>
      <c r="L86" s="186">
        <f t="shared" si="4"/>
        <v>4397.6467223048912</v>
      </c>
      <c r="M86" s="186">
        <f t="shared" si="4"/>
        <v>3551.9610811638413</v>
      </c>
      <c r="N86" s="3"/>
    </row>
    <row r="87" spans="1:16" x14ac:dyDescent="0.25">
      <c r="A87" s="37"/>
      <c r="B87" s="37"/>
      <c r="C87" s="37"/>
      <c r="D87" s="37"/>
      <c r="E87" s="37"/>
      <c r="F87" s="145" t="s">
        <v>43</v>
      </c>
      <c r="G87" s="158">
        <f>G82-E82</f>
        <v>12275.741793936468</v>
      </c>
      <c r="H87" s="158">
        <f>H82-E82</f>
        <v>8661.5197597171646</v>
      </c>
      <c r="I87" s="158">
        <f>I82-E82</f>
        <v>5047.2977254978905</v>
      </c>
      <c r="K87" s="186">
        <f t="shared" si="4"/>
        <v>1227.5741793936468</v>
      </c>
      <c r="L87" s="186">
        <f t="shared" si="4"/>
        <v>866.15197597171641</v>
      </c>
      <c r="M87" s="186">
        <f t="shared" si="4"/>
        <v>504.72977254978906</v>
      </c>
      <c r="N87" s="193"/>
      <c r="O87" s="193"/>
      <c r="P87" s="193"/>
    </row>
    <row r="88" spans="1:16" x14ac:dyDescent="0.25">
      <c r="A88" s="37"/>
      <c r="B88" s="37"/>
      <c r="C88" s="37"/>
      <c r="D88" s="37"/>
      <c r="E88" s="37"/>
      <c r="F88" s="145" t="s">
        <v>42</v>
      </c>
      <c r="G88" s="158">
        <f>G83-E83</f>
        <v>64709.065428395872</v>
      </c>
      <c r="H88" s="158">
        <f>H83-E83</f>
        <v>52637.986982766073</v>
      </c>
      <c r="I88" s="158">
        <f>I83-E83</f>
        <v>40566.908537136274</v>
      </c>
      <c r="K88" s="186">
        <f t="shared" si="4"/>
        <v>6470.906542839587</v>
      </c>
      <c r="L88" s="186">
        <f t="shared" si="4"/>
        <v>5263.798698276607</v>
      </c>
      <c r="M88" s="186">
        <f t="shared" si="4"/>
        <v>4056.6908537136273</v>
      </c>
      <c r="N88" s="3"/>
    </row>
    <row r="89" spans="1:16" x14ac:dyDescent="0.25">
      <c r="A89" s="37"/>
      <c r="B89" s="37"/>
      <c r="C89" s="37"/>
      <c r="D89" s="37"/>
      <c r="E89" s="37"/>
      <c r="F89" s="35" t="s">
        <v>137</v>
      </c>
      <c r="G89" s="161"/>
      <c r="H89" s="161"/>
      <c r="I89" s="162"/>
    </row>
    <row r="90" spans="1:16" x14ac:dyDescent="0.25">
      <c r="A90" s="37"/>
      <c r="B90" s="43"/>
      <c r="C90" s="43"/>
      <c r="D90" s="37"/>
      <c r="E90" s="37"/>
      <c r="F90" s="145" t="s">
        <v>41</v>
      </c>
      <c r="G90" s="158">
        <f t="shared" ref="G90:I91" si="5">(1-$G$16)*G86</f>
        <v>44204.534417790732</v>
      </c>
      <c r="H90" s="158">
        <f t="shared" si="5"/>
        <v>37074.881472066998</v>
      </c>
      <c r="I90" s="158">
        <f t="shared" si="5"/>
        <v>29945.22852634326</v>
      </c>
      <c r="K90" s="186">
        <f t="shared" ref="K90:M92" si="6">G90/10</f>
        <v>4420.4534417790728</v>
      </c>
      <c r="L90" s="186">
        <f t="shared" si="6"/>
        <v>3707.4881472067</v>
      </c>
      <c r="M90" s="186">
        <f t="shared" si="6"/>
        <v>2994.5228526343262</v>
      </c>
    </row>
    <row r="91" spans="1:16" x14ac:dyDescent="0.25">
      <c r="A91" s="37"/>
      <c r="B91" s="43"/>
      <c r="C91" s="43"/>
      <c r="D91" s="37"/>
      <c r="E91" s="37"/>
      <c r="F91" s="145" t="s">
        <v>43</v>
      </c>
      <c r="G91" s="158">
        <f t="shared" si="5"/>
        <v>10349.209491601809</v>
      </c>
      <c r="H91" s="158">
        <f t="shared" si="5"/>
        <v>7302.1968051852155</v>
      </c>
      <c r="I91" s="158">
        <f t="shared" si="5"/>
        <v>4255.1841187686468</v>
      </c>
      <c r="K91" s="186">
        <f t="shared" si="6"/>
        <v>1034.920949160181</v>
      </c>
      <c r="L91" s="186">
        <f t="shared" si="6"/>
        <v>730.2196805185215</v>
      </c>
      <c r="M91" s="186">
        <f t="shared" si="6"/>
        <v>425.51841187686466</v>
      </c>
      <c r="N91" s="193"/>
      <c r="O91" s="193"/>
      <c r="P91" s="193"/>
    </row>
    <row r="92" spans="1:16" x14ac:dyDescent="0.25">
      <c r="A92" s="37"/>
      <c r="B92" s="43"/>
      <c r="C92" s="43"/>
      <c r="D92" s="37"/>
      <c r="E92" s="37"/>
      <c r="F92" s="145" t="s">
        <v>42</v>
      </c>
      <c r="G92" s="158">
        <f>G90+G91</f>
        <v>54553.743909392542</v>
      </c>
      <c r="H92" s="158">
        <f>H90+H91</f>
        <v>44377.078277252214</v>
      </c>
      <c r="I92" s="158">
        <f>(1-$G$16)*I88</f>
        <v>34200.412645111879</v>
      </c>
      <c r="K92" s="186">
        <f t="shared" si="6"/>
        <v>5455.3743909392542</v>
      </c>
      <c r="L92" s="186">
        <f t="shared" si="6"/>
        <v>4437.7078277252213</v>
      </c>
      <c r="M92" s="186">
        <f t="shared" si="6"/>
        <v>3420.0412645111878</v>
      </c>
    </row>
    <row r="93" spans="1:16" x14ac:dyDescent="0.25">
      <c r="A93" s="37"/>
      <c r="B93" s="43"/>
      <c r="C93" s="43"/>
      <c r="D93" s="37"/>
      <c r="E93" s="37"/>
      <c r="F93" s="159"/>
      <c r="G93" s="154"/>
      <c r="H93" s="154"/>
      <c r="I93" s="154"/>
      <c r="K93" s="3"/>
      <c r="L93" s="3"/>
      <c r="M93" s="3"/>
    </row>
    <row r="94" spans="1:16" x14ac:dyDescent="0.25">
      <c r="A94" s="37"/>
      <c r="B94" s="43"/>
      <c r="C94" s="43"/>
      <c r="D94" s="37"/>
      <c r="E94" s="37"/>
      <c r="F94" s="159"/>
      <c r="G94" s="154"/>
      <c r="H94" s="154"/>
      <c r="I94" s="154"/>
      <c r="K94" s="3"/>
      <c r="L94" s="3"/>
      <c r="M94" s="3"/>
    </row>
    <row r="95" spans="1:16" ht="25.5" x14ac:dyDescent="0.2">
      <c r="A95" s="184" t="s">
        <v>155</v>
      </c>
      <c r="B95" s="181">
        <v>1990</v>
      </c>
      <c r="C95" s="182">
        <v>2000</v>
      </c>
      <c r="D95" s="183" t="s">
        <v>117</v>
      </c>
      <c r="E95" s="182">
        <v>2010</v>
      </c>
      <c r="F95" s="34"/>
      <c r="G95" s="175"/>
      <c r="H95" s="176" t="s">
        <v>185</v>
      </c>
      <c r="I95" s="177"/>
      <c r="J95"/>
      <c r="K95" s="178"/>
      <c r="L95" s="179" t="s">
        <v>186</v>
      </c>
      <c r="M95" s="180"/>
    </row>
    <row r="96" spans="1:16" ht="12.75" x14ac:dyDescent="0.2">
      <c r="A96" s="21" t="s">
        <v>150</v>
      </c>
      <c r="B96" s="32">
        <f t="shared" ref="B96:C98" si="7">B29</f>
        <v>333783</v>
      </c>
      <c r="C96" s="32">
        <f t="shared" si="7"/>
        <v>383208</v>
      </c>
      <c r="D96" s="32">
        <f>C96-B96</f>
        <v>49425</v>
      </c>
      <c r="E96" s="32">
        <f>E29</f>
        <v>406763</v>
      </c>
      <c r="F96" s="34"/>
      <c r="G96" s="32">
        <f t="shared" ref="G96:I98" si="8">G29</f>
        <v>423476.88200029387</v>
      </c>
      <c r="H96" s="32">
        <f t="shared" si="8"/>
        <v>411634.94100014691</v>
      </c>
      <c r="I96" s="32">
        <f t="shared" si="8"/>
        <v>399793</v>
      </c>
      <c r="J96"/>
      <c r="K96" s="3">
        <f>G96-E96</f>
        <v>16713.882000293874</v>
      </c>
      <c r="L96" s="3">
        <f>H96-E96</f>
        <v>4871.9410001469078</v>
      </c>
      <c r="M96" s="3">
        <f>I96-E96</f>
        <v>-6970</v>
      </c>
    </row>
    <row r="97" spans="1:13" ht="12.75" x14ac:dyDescent="0.2">
      <c r="A97" s="31" t="s">
        <v>151</v>
      </c>
      <c r="B97" s="32">
        <f t="shared" si="7"/>
        <v>223948</v>
      </c>
      <c r="C97" s="32">
        <f t="shared" si="7"/>
        <v>261515</v>
      </c>
      <c r="D97" s="32">
        <f>C97-B97</f>
        <v>37567</v>
      </c>
      <c r="E97" s="32">
        <f>E30</f>
        <v>282165</v>
      </c>
      <c r="F97" s="34"/>
      <c r="G97" s="32">
        <f t="shared" si="8"/>
        <v>293091.10413881514</v>
      </c>
      <c r="H97" s="32">
        <f t="shared" si="8"/>
        <v>284718.81629151874</v>
      </c>
      <c r="I97" s="32">
        <f t="shared" si="8"/>
        <v>276346.52844422229</v>
      </c>
      <c r="J97"/>
      <c r="K97" s="3">
        <f t="shared" ref="K97:K106" si="9">G97-E97</f>
        <v>10926.104138815135</v>
      </c>
      <c r="L97" s="3">
        <f t="shared" ref="L97:L106" si="10">H97-E97</f>
        <v>2553.8162915187422</v>
      </c>
      <c r="M97" s="3">
        <f t="shared" ref="M97:M106" si="11">I97-E97</f>
        <v>-5818.471555777709</v>
      </c>
    </row>
    <row r="98" spans="1:13" ht="12.75" x14ac:dyDescent="0.2">
      <c r="A98" s="31" t="s">
        <v>152</v>
      </c>
      <c r="B98" s="32">
        <f t="shared" si="7"/>
        <v>109835</v>
      </c>
      <c r="C98" s="32">
        <f t="shared" si="7"/>
        <v>121693</v>
      </c>
      <c r="D98" s="32">
        <f>C98-B98</f>
        <v>11858</v>
      </c>
      <c r="E98" s="32">
        <f>E31</f>
        <v>124598</v>
      </c>
      <c r="F98" s="34"/>
      <c r="G98" s="32">
        <f t="shared" si="8"/>
        <v>130385.77786147868</v>
      </c>
      <c r="H98" s="32">
        <f t="shared" si="8"/>
        <v>126916.12470862818</v>
      </c>
      <c r="I98" s="32">
        <f t="shared" si="8"/>
        <v>123445.82989750001</v>
      </c>
      <c r="J98"/>
      <c r="K98" s="3">
        <f t="shared" si="9"/>
        <v>5787.7778614786803</v>
      </c>
      <c r="L98" s="3">
        <f t="shared" si="10"/>
        <v>2318.1247086281801</v>
      </c>
      <c r="M98" s="3">
        <f t="shared" si="11"/>
        <v>-1152.1701024999929</v>
      </c>
    </row>
    <row r="99" spans="1:13" ht="12.75" x14ac:dyDescent="0.2">
      <c r="A99" s="31"/>
      <c r="B99" s="31"/>
      <c r="C99" s="31"/>
      <c r="D99" s="31"/>
      <c r="E99" s="31"/>
      <c r="F99" s="34"/>
      <c r="G99" s="31"/>
      <c r="H99" s="31"/>
      <c r="I99" s="31"/>
      <c r="J99"/>
      <c r="K99" s="3"/>
      <c r="L99" s="3"/>
      <c r="M99" s="3"/>
    </row>
    <row r="100" spans="1:13" ht="12.75" x14ac:dyDescent="0.2">
      <c r="A100" s="21" t="s">
        <v>153</v>
      </c>
      <c r="B100" s="32">
        <f>B41</f>
        <v>77403</v>
      </c>
      <c r="C100" s="32">
        <f>C41</f>
        <v>91398</v>
      </c>
      <c r="D100" s="32">
        <f t="shared" ref="D100:D106" si="12">C100-B100</f>
        <v>13995</v>
      </c>
      <c r="E100" s="32">
        <f>E41</f>
        <v>112210</v>
      </c>
      <c r="F100" s="34"/>
      <c r="G100" s="32">
        <f>G41</f>
        <v>166940</v>
      </c>
      <c r="H100" s="32">
        <f>H41</f>
        <v>166940</v>
      </c>
      <c r="I100" s="32">
        <f>I41</f>
        <v>166940</v>
      </c>
      <c r="J100"/>
      <c r="K100" s="3">
        <f t="shared" si="9"/>
        <v>54730</v>
      </c>
      <c r="L100" s="3">
        <f t="shared" si="10"/>
        <v>54730</v>
      </c>
      <c r="M100" s="3">
        <f t="shared" si="11"/>
        <v>54730</v>
      </c>
    </row>
    <row r="101" spans="1:13" ht="12.75" x14ac:dyDescent="0.2">
      <c r="A101" s="31" t="s">
        <v>151</v>
      </c>
      <c r="B101" s="32">
        <f>B45</f>
        <v>56424</v>
      </c>
      <c r="C101" s="32">
        <f>C45</f>
        <v>69185</v>
      </c>
      <c r="D101" s="32">
        <f t="shared" si="12"/>
        <v>12761</v>
      </c>
      <c r="E101" s="32">
        <f>E45</f>
        <v>86151</v>
      </c>
      <c r="F101" s="34"/>
      <c r="G101" s="32">
        <f t="shared" ref="G101:I102" si="13">G45</f>
        <v>129408.20173929972</v>
      </c>
      <c r="H101" s="32">
        <f t="shared" si="13"/>
        <v>129408.20173929972</v>
      </c>
      <c r="I101" s="32">
        <f t="shared" si="13"/>
        <v>129408.20173929972</v>
      </c>
      <c r="J101"/>
      <c r="K101" s="3">
        <f t="shared" si="9"/>
        <v>43257.201739299722</v>
      </c>
      <c r="L101" s="3">
        <f t="shared" si="10"/>
        <v>43257.201739299722</v>
      </c>
      <c r="M101" s="3">
        <f t="shared" si="11"/>
        <v>43257.201739299722</v>
      </c>
    </row>
    <row r="102" spans="1:13" ht="12.75" x14ac:dyDescent="0.2">
      <c r="A102" s="31" t="s">
        <v>152</v>
      </c>
      <c r="B102" s="32">
        <f>B46</f>
        <v>20979</v>
      </c>
      <c r="C102" s="32">
        <f>C46</f>
        <v>22213</v>
      </c>
      <c r="D102" s="32">
        <f t="shared" si="12"/>
        <v>1234</v>
      </c>
      <c r="E102" s="32">
        <f>E46</f>
        <v>26059</v>
      </c>
      <c r="F102" s="34"/>
      <c r="G102" s="32">
        <f t="shared" si="13"/>
        <v>37531.798260700263</v>
      </c>
      <c r="H102" s="32">
        <f t="shared" si="13"/>
        <v>37531.798260700263</v>
      </c>
      <c r="I102" s="32">
        <f t="shared" si="13"/>
        <v>37574.818262911685</v>
      </c>
      <c r="J102"/>
      <c r="K102" s="3">
        <f t="shared" si="9"/>
        <v>11472.798260700263</v>
      </c>
      <c r="L102" s="3">
        <f t="shared" si="10"/>
        <v>11472.798260700263</v>
      </c>
      <c r="M102" s="3">
        <f t="shared" si="11"/>
        <v>11515.818262911685</v>
      </c>
    </row>
    <row r="103" spans="1:13" ht="12.75" x14ac:dyDescent="0.2">
      <c r="A103" s="31"/>
      <c r="B103" s="38"/>
      <c r="C103" s="38"/>
      <c r="D103" s="31"/>
      <c r="E103" s="31"/>
      <c r="F103" s="34"/>
      <c r="G103" s="31"/>
      <c r="H103" s="31"/>
      <c r="I103" s="31"/>
      <c r="J103"/>
      <c r="K103" s="3"/>
      <c r="L103" s="3"/>
      <c r="M103" s="3"/>
    </row>
    <row r="104" spans="1:13" ht="12.75" x14ac:dyDescent="0.2">
      <c r="A104" s="21" t="s">
        <v>154</v>
      </c>
      <c r="B104" s="32">
        <f t="shared" ref="B104:C106" si="14">B55</f>
        <v>411186</v>
      </c>
      <c r="C104" s="32">
        <f t="shared" si="14"/>
        <v>474606</v>
      </c>
      <c r="D104" s="32">
        <f t="shared" si="12"/>
        <v>63420</v>
      </c>
      <c r="E104" s="32">
        <f>E55</f>
        <v>518973</v>
      </c>
      <c r="F104" s="34"/>
      <c r="G104" s="32">
        <f t="shared" ref="G104:I106" si="15">G55</f>
        <v>590416.88200029382</v>
      </c>
      <c r="H104" s="32">
        <f t="shared" si="15"/>
        <v>578574.94100014691</v>
      </c>
      <c r="I104" s="32">
        <f t="shared" si="15"/>
        <v>566733</v>
      </c>
      <c r="J104"/>
      <c r="K104" s="3">
        <f t="shared" si="9"/>
        <v>71443.882000293816</v>
      </c>
      <c r="L104" s="3">
        <f t="shared" si="10"/>
        <v>59601.941000146908</v>
      </c>
      <c r="M104" s="3">
        <f t="shared" si="11"/>
        <v>47760</v>
      </c>
    </row>
    <row r="105" spans="1:13" ht="12.75" x14ac:dyDescent="0.2">
      <c r="A105" s="31" t="s">
        <v>151</v>
      </c>
      <c r="B105" s="32">
        <f t="shared" si="14"/>
        <v>280372</v>
      </c>
      <c r="C105" s="32">
        <f t="shared" si="14"/>
        <v>330700</v>
      </c>
      <c r="D105" s="32">
        <f t="shared" si="12"/>
        <v>50328</v>
      </c>
      <c r="E105" s="32">
        <f>E56</f>
        <v>368316</v>
      </c>
      <c r="F105" s="34"/>
      <c r="G105" s="32">
        <f t="shared" si="15"/>
        <v>422499.30587811483</v>
      </c>
      <c r="H105" s="32">
        <f t="shared" si="15"/>
        <v>414127.01803081844</v>
      </c>
      <c r="I105" s="32">
        <f t="shared" si="15"/>
        <v>405754.73018352204</v>
      </c>
      <c r="J105"/>
      <c r="K105" s="3">
        <f t="shared" si="9"/>
        <v>54183.305878114828</v>
      </c>
      <c r="L105" s="3">
        <f t="shared" si="10"/>
        <v>45811.018030818435</v>
      </c>
      <c r="M105" s="3">
        <f t="shared" si="11"/>
        <v>37438.730183522042</v>
      </c>
    </row>
    <row r="106" spans="1:13" ht="12.75" x14ac:dyDescent="0.2">
      <c r="A106" s="31" t="s">
        <v>152</v>
      </c>
      <c r="B106" s="32">
        <f t="shared" si="14"/>
        <v>130814</v>
      </c>
      <c r="C106" s="32">
        <f t="shared" si="14"/>
        <v>143906</v>
      </c>
      <c r="D106" s="32">
        <f t="shared" si="12"/>
        <v>13092</v>
      </c>
      <c r="E106" s="32">
        <f>E57</f>
        <v>150657</v>
      </c>
      <c r="F106" s="34"/>
      <c r="G106" s="32">
        <f t="shared" si="15"/>
        <v>167917.57612217899</v>
      </c>
      <c r="H106" s="32">
        <f t="shared" si="15"/>
        <v>164447.92296932847</v>
      </c>
      <c r="I106" s="32">
        <f t="shared" si="15"/>
        <v>160978.26981647796</v>
      </c>
      <c r="J106"/>
      <c r="K106" s="3">
        <f t="shared" si="9"/>
        <v>17260.576122178987</v>
      </c>
      <c r="L106" s="3">
        <f t="shared" si="10"/>
        <v>13790.922969328472</v>
      </c>
      <c r="M106" s="3">
        <f t="shared" si="11"/>
        <v>10321.269816477958</v>
      </c>
    </row>
    <row r="107" spans="1:13" x14ac:dyDescent="0.25">
      <c r="A107" s="37"/>
      <c r="B107" s="43"/>
      <c r="C107" s="43"/>
      <c r="D107" s="37"/>
      <c r="E107" s="37"/>
      <c r="F107" s="159"/>
      <c r="G107" s="154"/>
      <c r="H107" s="154"/>
      <c r="I107" s="154"/>
      <c r="K107" s="3"/>
      <c r="L107" s="3"/>
      <c r="M107" s="3"/>
    </row>
    <row r="108" spans="1:13" x14ac:dyDescent="0.25">
      <c r="A108" s="37"/>
      <c r="B108" s="43"/>
      <c r="C108" s="43"/>
      <c r="D108" s="37"/>
      <c r="E108" s="37"/>
      <c r="F108" s="159"/>
      <c r="G108" s="154"/>
      <c r="H108" s="154"/>
      <c r="I108" s="154"/>
      <c r="K108" s="3"/>
      <c r="L108" s="3"/>
      <c r="M108" s="3"/>
    </row>
    <row r="109" spans="1:13" s="31" customFormat="1" ht="12.75" x14ac:dyDescent="0.2">
      <c r="A109" s="222" t="s">
        <v>206</v>
      </c>
      <c r="B109" s="38"/>
      <c r="C109" s="38"/>
      <c r="E109" s="57" t="s">
        <v>187</v>
      </c>
      <c r="F109" s="164"/>
      <c r="G109" s="34"/>
      <c r="H109" s="45"/>
      <c r="I109" s="58"/>
      <c r="J109" s="56"/>
    </row>
    <row r="110" spans="1:13" s="31" customFormat="1" ht="12.75" x14ac:dyDescent="0.2">
      <c r="A110" s="222" t="s">
        <v>207</v>
      </c>
      <c r="B110" s="38"/>
      <c r="C110" s="38"/>
      <c r="E110" s="219" t="s">
        <v>209</v>
      </c>
      <c r="F110" s="165"/>
      <c r="G110" s="34"/>
      <c r="I110" s="59"/>
    </row>
    <row r="111" spans="1:13" s="31" customFormat="1" ht="12.75" x14ac:dyDescent="0.2">
      <c r="A111" s="21"/>
      <c r="B111" s="38"/>
      <c r="C111" s="38"/>
      <c r="E111" s="37"/>
      <c r="F111" s="37"/>
      <c r="G111" s="60" t="s">
        <v>77</v>
      </c>
      <c r="H111" s="60" t="s">
        <v>78</v>
      </c>
      <c r="I111" s="61" t="s">
        <v>79</v>
      </c>
    </row>
    <row r="112" spans="1:13" s="31" customFormat="1" ht="12.75" x14ac:dyDescent="0.2">
      <c r="A112" s="21" t="s">
        <v>49</v>
      </c>
      <c r="B112" s="38"/>
      <c r="C112" s="62" t="s">
        <v>208</v>
      </c>
      <c r="E112" s="64" t="s">
        <v>49</v>
      </c>
      <c r="F112" s="64"/>
      <c r="G112" s="45"/>
      <c r="I112" s="56"/>
    </row>
    <row r="113" spans="1:9" s="31" customFormat="1" ht="12.75" x14ac:dyDescent="0.2">
      <c r="A113" s="31" t="s">
        <v>50</v>
      </c>
      <c r="B113" s="38"/>
      <c r="C113" s="32">
        <f>BELKNAP!C113+CARROLL!C113+CHESHIRE!C113+COOS!C113+GRAFTON!C113+HILLSBOROUGH!C113+MERRIMACK!C113+ROCKINGHAM!C113+STRAFFORD!C113+SULLIVAN!C113</f>
        <v>23926.250770154031</v>
      </c>
      <c r="E113" s="37" t="s">
        <v>50</v>
      </c>
      <c r="F113" s="37"/>
      <c r="G113" s="32">
        <f>BELKNAP!G113+CARROLL!G113+CHESHIRE!G113+COOS!G113+GRAFTON!G113+HILLSBOROUGH!G113+MERRIMACK!G113+ROCKINGHAM!G113+STRAFFORD!G113+SULLIVAN!G113</f>
        <v>27312.419530911418</v>
      </c>
      <c r="H113" s="32">
        <f>BELKNAP!H113+CARROLL!H113+CHESHIRE!H113+COOS!H113+GRAFTON!H113+HILLSBOROUGH!H113+MERRIMACK!H113+ROCKINGHAM!H113+STRAFFORD!H113+SULLIVAN!H113</f>
        <v>26748.813719510254</v>
      </c>
      <c r="I113" s="32">
        <f>BELKNAP!I113+CARROLL!I113+CHESHIRE!I113+COOS!I113+GRAFTON!I113+HILLSBOROUGH!I113+MERRIMACK!I113+ROCKINGHAM!I113+STRAFFORD!I113+SULLIVAN!I113</f>
        <v>26185.207908109096</v>
      </c>
    </row>
    <row r="114" spans="1:9" s="31" customFormat="1" ht="12.75" x14ac:dyDescent="0.2">
      <c r="A114" s="31" t="s">
        <v>51</v>
      </c>
      <c r="B114" s="38"/>
      <c r="C114" s="32">
        <f>BELKNAP!C114+CARROLL!C114+CHESHIRE!C114+COOS!C114+GRAFTON!C114+HILLSBOROUGH!C114+MERRIMACK!C114+ROCKINGHAM!C114+STRAFFORD!C114+SULLIVAN!C114</f>
        <v>53674.13958190367</v>
      </c>
      <c r="E114" s="37" t="s">
        <v>51</v>
      </c>
      <c r="F114" s="37"/>
      <c r="G114" s="32">
        <f>BELKNAP!G114+CARROLL!G114+CHESHIRE!G114+COOS!G114+GRAFTON!G114+HILLSBOROUGH!G114+MERRIMACK!G114+ROCKINGHAM!G114+STRAFFORD!G114+SULLIVAN!G114</f>
        <v>61291.096105873308</v>
      </c>
      <c r="H114" s="32">
        <f>BELKNAP!H114+CARROLL!H114+CHESHIRE!H114+COOS!H114+GRAFTON!H114+HILLSBOROUGH!H114+MERRIMACK!H114+ROCKINGHAM!H114+STRAFFORD!H114+SULLIVAN!H114</f>
        <v>60018.155972669418</v>
      </c>
      <c r="I114" s="32">
        <f>BELKNAP!I114+CARROLL!I114+CHESHIRE!I114+COOS!I114+GRAFTON!I114+HILLSBOROUGH!I114+MERRIMACK!I114+ROCKINGHAM!I114+STRAFFORD!I114+SULLIVAN!I114</f>
        <v>58745.215839465534</v>
      </c>
    </row>
    <row r="115" spans="1:9" s="31" customFormat="1" ht="12.75" x14ac:dyDescent="0.2">
      <c r="A115" s="31" t="s">
        <v>52</v>
      </c>
      <c r="B115" s="38"/>
      <c r="C115" s="32">
        <f>BELKNAP!C115+CARROLL!C115+CHESHIRE!C115+COOS!C115+GRAFTON!C115+HILLSBOROUGH!C115+MERRIMACK!C115+ROCKINGHAM!C115+STRAFFORD!C115+SULLIVAN!C115</f>
        <v>70939.666374474968</v>
      </c>
      <c r="E115" s="37" t="s">
        <v>52</v>
      </c>
      <c r="F115" s="37"/>
      <c r="G115" s="32">
        <f>BELKNAP!G115+CARROLL!G115+CHESHIRE!G115+COOS!G115+GRAFTON!G115+HILLSBOROUGH!G115+MERRIMACK!G115+ROCKINGHAM!G115+STRAFFORD!G115+SULLIVAN!G115</f>
        <v>80966.362644918729</v>
      </c>
      <c r="H115" s="32">
        <f>BELKNAP!H115+CARROLL!H115+CHESHIRE!H115+COOS!H115+GRAFTON!H115+HILLSBOROUGH!H115+MERRIMACK!H115+ROCKINGHAM!H115+STRAFFORD!H115+SULLIVAN!H115</f>
        <v>79301.081506855917</v>
      </c>
      <c r="I115" s="32">
        <f>BELKNAP!I115+CARROLL!I115+CHESHIRE!I115+COOS!I115+GRAFTON!I115+HILLSBOROUGH!I115+MERRIMACK!I115+ROCKINGHAM!I115+STRAFFORD!I115+SULLIVAN!I115</f>
        <v>77635.800368793134</v>
      </c>
    </row>
    <row r="116" spans="1:9" s="31" customFormat="1" ht="12.75" x14ac:dyDescent="0.2">
      <c r="A116" s="31" t="s">
        <v>53</v>
      </c>
      <c r="B116" s="38"/>
      <c r="C116" s="32">
        <f>BELKNAP!C116+CARROLL!C116+CHESHIRE!C116+COOS!C116+GRAFTON!C116+HILLSBOROUGH!C116+MERRIMACK!C116+ROCKINGHAM!C116+STRAFFORD!C116+SULLIVAN!C116</f>
        <v>107545.85595878903</v>
      </c>
      <c r="E116" s="37" t="s">
        <v>53</v>
      </c>
      <c r="F116" s="37"/>
      <c r="G116" s="32">
        <f>BELKNAP!G116+CARROLL!G116+CHESHIRE!G116+COOS!G116+GRAFTON!G116+HILLSBOROUGH!G116+MERRIMACK!G116+ROCKINGHAM!G116+STRAFFORD!G116+SULLIVAN!G116</f>
        <v>122690.72172877908</v>
      </c>
      <c r="H116" s="32">
        <f>BELKNAP!H116+CARROLL!H116+CHESHIRE!H116+COOS!H116+GRAFTON!H116+HILLSBOROUGH!H116+MERRIMACK!H116+ROCKINGHAM!H116+STRAFFORD!H116+SULLIVAN!H116</f>
        <v>120203.23265620007</v>
      </c>
      <c r="I116" s="32">
        <f>BELKNAP!I116+CARROLL!I116+CHESHIRE!I116+COOS!I116+GRAFTON!I116+HILLSBOROUGH!I116+MERRIMACK!I116+ROCKINGHAM!I116+STRAFFORD!I116+SULLIVAN!I116</f>
        <v>117715.74358362106</v>
      </c>
    </row>
    <row r="117" spans="1:9" s="31" customFormat="1" ht="12.75" x14ac:dyDescent="0.2">
      <c r="A117" s="31" t="s">
        <v>54</v>
      </c>
      <c r="B117" s="38"/>
      <c r="C117" s="32">
        <f>BELKNAP!C117+CARROLL!C117+CHESHIRE!C117+COOS!C117+GRAFTON!C117+HILLSBOROUGH!C117+MERRIMACK!C117+ROCKINGHAM!C117+STRAFFORD!C117+SULLIVAN!C117</f>
        <v>145574.44531605919</v>
      </c>
      <c r="E117" s="37" t="s">
        <v>54</v>
      </c>
      <c r="F117" s="37"/>
      <c r="G117" s="32">
        <f>BELKNAP!G117+CARROLL!G117+CHESHIRE!G117+COOS!G117+GRAFTON!G117+HILLSBOROUGH!G117+MERRIMACK!G117+ROCKINGHAM!G117+STRAFFORD!G117+SULLIVAN!G117</f>
        <v>166092.08661472375</v>
      </c>
      <c r="H117" s="32">
        <f>BELKNAP!H117+CARROLL!H117+CHESHIRE!H117+COOS!H117+GRAFTON!H117+HILLSBOROUGH!H117+MERRIMACK!H117+ROCKINGHAM!H117+STRAFFORD!H117+SULLIVAN!H117</f>
        <v>162738.71765545552</v>
      </c>
      <c r="I117" s="32">
        <f>BELKNAP!I117+CARROLL!I117+CHESHIRE!I117+COOS!I117+GRAFTON!I117+HILLSBOROUGH!I117+MERRIMACK!I117+ROCKINGHAM!I117+STRAFFORD!I117+SULLIVAN!I117</f>
        <v>159385.34869618728</v>
      </c>
    </row>
    <row r="118" spans="1:9" s="31" customFormat="1" ht="12.75" x14ac:dyDescent="0.2">
      <c r="A118" s="31" t="s">
        <v>55</v>
      </c>
      <c r="B118" s="38"/>
      <c r="C118" s="32">
        <f>BELKNAP!C118+CARROLL!C118+CHESHIRE!C118+COOS!C118+GRAFTON!C118+HILLSBOROUGH!C118+MERRIMACK!C118+ROCKINGHAM!C118+STRAFFORD!C118+SULLIVAN!C118</f>
        <v>181720.06362893461</v>
      </c>
      <c r="E118" s="37" t="s">
        <v>55</v>
      </c>
      <c r="F118" s="37"/>
      <c r="G118" s="32">
        <f>BELKNAP!G118+CARROLL!G118+CHESHIRE!G118+COOS!G118+GRAFTON!G118+HILLSBOROUGH!G118+MERRIMACK!G118+ROCKINGHAM!G118+STRAFFORD!G118+SULLIVAN!G118</f>
        <v>207279.63925200899</v>
      </c>
      <c r="H118" s="32">
        <f>BELKNAP!H118+CARROLL!H118+CHESHIRE!H118+COOS!H118+GRAFTON!H118+HILLSBOROUGH!H118+MERRIMACK!H118+ROCKINGHAM!H118+STRAFFORD!H118+SULLIVAN!H118</f>
        <v>203107.95475396476</v>
      </c>
      <c r="I118" s="32">
        <f>BELKNAP!I118+CARROLL!I118+CHESHIRE!I118+COOS!I118+GRAFTON!I118+HILLSBOROUGH!I118+MERRIMACK!I118+ROCKINGHAM!I118+STRAFFORD!I118+SULLIVAN!I118</f>
        <v>198936.27025592048</v>
      </c>
    </row>
    <row r="119" spans="1:9" s="31" customFormat="1" ht="12.75" x14ac:dyDescent="0.2">
      <c r="A119" s="31" t="s">
        <v>56</v>
      </c>
      <c r="B119" s="38"/>
      <c r="C119" s="32">
        <f>BELKNAP!C119+CARROLL!C119+CHESHIRE!C119+COOS!C119+GRAFTON!C119+HILLSBOROUGH!C119+MERRIMACK!C119+ROCKINGHAM!C119+STRAFFORD!C119+SULLIVAN!C119</f>
        <v>370750</v>
      </c>
      <c r="E119" s="37" t="s">
        <v>56</v>
      </c>
      <c r="F119" s="37"/>
      <c r="G119" s="32">
        <f>BELKNAP!G119+CARROLL!G119+CHESHIRE!G119+COOS!G119+GRAFTON!G119+HILLSBOROUGH!G119+MERRIMACK!G119+ROCKINGHAM!G119+STRAFFORD!G119+SULLIVAN!G119</f>
        <v>422499.30587811483</v>
      </c>
      <c r="H119" s="32">
        <f>BELKNAP!H119+CARROLL!H119+CHESHIRE!H119+COOS!H119+GRAFTON!H119+HILLSBOROUGH!H119+MERRIMACK!H119+ROCKINGHAM!H119+STRAFFORD!H119+SULLIVAN!H119</f>
        <v>414127.01803081844</v>
      </c>
      <c r="I119" s="32">
        <f>BELKNAP!I119+CARROLL!I119+CHESHIRE!I119+COOS!I119+GRAFTON!I119+HILLSBOROUGH!I119+MERRIMACK!I119+ROCKINGHAM!I119+STRAFFORD!I119+SULLIVAN!I119</f>
        <v>405754.73018352204</v>
      </c>
    </row>
    <row r="120" spans="1:9" s="31" customFormat="1" ht="12.75" x14ac:dyDescent="0.2">
      <c r="B120" s="38"/>
      <c r="C120" s="32"/>
      <c r="E120" s="37"/>
      <c r="F120" s="37"/>
      <c r="G120" s="32"/>
      <c r="H120" s="32"/>
      <c r="I120" s="32"/>
    </row>
    <row r="121" spans="1:9" s="31" customFormat="1" ht="12.75" x14ac:dyDescent="0.2">
      <c r="A121" s="21" t="s">
        <v>0</v>
      </c>
      <c r="B121" s="38"/>
      <c r="C121" s="32"/>
      <c r="E121" s="64" t="s">
        <v>0</v>
      </c>
      <c r="F121" s="64"/>
      <c r="G121" s="32"/>
      <c r="H121" s="32"/>
      <c r="I121" s="32"/>
    </row>
    <row r="122" spans="1:9" s="31" customFormat="1" ht="12.75" x14ac:dyDescent="0.2">
      <c r="A122" s="31" t="s">
        <v>50</v>
      </c>
      <c r="B122" s="38"/>
      <c r="C122" s="32">
        <f>BELKNAP!C122+CARROLL!C122+CHESHIRE!C122+COOS!C122+GRAFTON!C122+HILLSBOROUGH!C122+MERRIMACK!C122+ROCKINGHAM!C122+STRAFFORD!C122+SULLIVAN!C122</f>
        <v>35589.937687537502</v>
      </c>
      <c r="E122" s="37" t="s">
        <v>50</v>
      </c>
      <c r="F122" s="37"/>
      <c r="G122" s="32">
        <f>BELKNAP!G122+CARROLL!G122+CHESHIRE!G122+COOS!G122+GRAFTON!G122+HILLSBOROUGH!G122+MERRIMACK!G122+ROCKINGHAM!G122+STRAFFORD!G122+SULLIVAN!G122</f>
        <v>41383.481310913143</v>
      </c>
      <c r="H122" s="32">
        <f>BELKNAP!H122+CARROLL!H122+CHESHIRE!H122+COOS!H122+GRAFTON!H122+HILLSBOROUGH!H122+MERRIMACK!H122+ROCKINGHAM!H122+STRAFFORD!H122+SULLIVAN!H122</f>
        <v>40549.375653645133</v>
      </c>
      <c r="I122" s="32">
        <f>BELKNAP!I122+CARROLL!I122+CHESHIRE!I122+COOS!I122+GRAFTON!I122+HILLSBOROUGH!I122+MERRIMACK!I122+ROCKINGHAM!I122+STRAFFORD!I122+SULLIVAN!I122</f>
        <v>39715.26999637713</v>
      </c>
    </row>
    <row r="123" spans="1:9" s="31" customFormat="1" ht="12.75" x14ac:dyDescent="0.2">
      <c r="A123" s="31" t="s">
        <v>51</v>
      </c>
      <c r="B123" s="38"/>
      <c r="C123" s="32">
        <f>BELKNAP!C123+CARROLL!C123+CHESHIRE!C123+COOS!C123+GRAFTON!C123+HILLSBOROUGH!C123+MERRIMACK!C123+ROCKINGHAM!C123+STRAFFORD!C123+SULLIVAN!C123</f>
        <v>61723.061441523278</v>
      </c>
      <c r="E123" s="37" t="s">
        <v>51</v>
      </c>
      <c r="F123" s="37"/>
      <c r="G123" s="32">
        <f>BELKNAP!G123+CARROLL!G123+CHESHIRE!G123+COOS!G123+GRAFTON!G123+HILLSBOROUGH!G123+MERRIMACK!G123+ROCKINGHAM!G123+STRAFFORD!G123+SULLIVAN!G123</f>
        <v>71703.91743871558</v>
      </c>
      <c r="H123" s="32">
        <f>BELKNAP!H123+CARROLL!H123+CHESHIRE!H123+COOS!H123+GRAFTON!H123+HILLSBOROUGH!H123+MERRIMACK!H123+ROCKINGHAM!H123+STRAFFORD!H123+SULLIVAN!H123</f>
        <v>70229.420034778523</v>
      </c>
      <c r="I123" s="32">
        <f>BELKNAP!I123+CARROLL!I123+CHESHIRE!I123+COOS!I123+GRAFTON!I123+HILLSBOROUGH!I123+MERRIMACK!I123+ROCKINGHAM!I123+STRAFFORD!I123+SULLIVAN!I123</f>
        <v>68754.92263084148</v>
      </c>
    </row>
    <row r="124" spans="1:9" s="31" customFormat="1" ht="12.75" x14ac:dyDescent="0.2">
      <c r="A124" s="31" t="s">
        <v>52</v>
      </c>
      <c r="B124" s="38"/>
      <c r="C124" s="32">
        <f>BELKNAP!C124+CARROLL!C124+CHESHIRE!C124+COOS!C124+GRAFTON!C124+HILLSBOROUGH!C124+MERRIMACK!C124+ROCKINGHAM!C124+STRAFFORD!C124+SULLIVAN!C124</f>
        <v>73820.302335500732</v>
      </c>
      <c r="E124" s="37" t="s">
        <v>52</v>
      </c>
      <c r="F124" s="37"/>
      <c r="G124" s="32">
        <f>BELKNAP!G124+CARROLL!G124+CHESHIRE!G124+COOS!G124+GRAFTON!G124+HILLSBOROUGH!G124+MERRIMACK!G124+ROCKINGHAM!G124+STRAFFORD!G124+SULLIVAN!G124</f>
        <v>85770.286040618899</v>
      </c>
      <c r="H124" s="32">
        <f>BELKNAP!H124+CARROLL!H124+CHESHIRE!H124+COOS!H124+GRAFTON!H124+HILLSBOROUGH!H124+MERRIMACK!H124+ROCKINGHAM!H124+STRAFFORD!H124+SULLIVAN!H124</f>
        <v>84009.557739704818</v>
      </c>
      <c r="I124" s="32">
        <f>BELKNAP!I124+CARROLL!I124+CHESHIRE!I124+COOS!I124+GRAFTON!I124+HILLSBOROUGH!I124+MERRIMACK!I124+ROCKINGHAM!I124+STRAFFORD!I124+SULLIVAN!I124</f>
        <v>82248.829438790781</v>
      </c>
    </row>
    <row r="125" spans="1:9" s="31" customFormat="1" ht="12.75" x14ac:dyDescent="0.2">
      <c r="A125" s="31" t="s">
        <v>53</v>
      </c>
      <c r="B125" s="38"/>
      <c r="C125" s="32">
        <f>BELKNAP!C125+CARROLL!C125+CHESHIRE!C125+COOS!C125+GRAFTON!C125+HILLSBOROUGH!C125+MERRIMACK!C125+ROCKINGHAM!C125+STRAFFORD!C125+SULLIVAN!C125</f>
        <v>93951.075176506463</v>
      </c>
      <c r="E125" s="37" t="s">
        <v>53</v>
      </c>
      <c r="F125" s="37"/>
      <c r="G125" s="32">
        <f>BELKNAP!G125+CARROLL!G125+CHESHIRE!G125+COOS!G125+GRAFTON!G125+HILLSBOROUGH!G125+MERRIMACK!G125+ROCKINGHAM!G125+STRAFFORD!G125+SULLIVAN!G125</f>
        <v>109240.93128852398</v>
      </c>
      <c r="H125" s="32">
        <f>BELKNAP!H125+CARROLL!H125+CHESHIRE!H125+COOS!H125+GRAFTON!H125+HILLSBOROUGH!H125+MERRIMACK!H125+ROCKINGHAM!H125+STRAFFORD!H125+SULLIVAN!H125</f>
        <v>107001.57292852059</v>
      </c>
      <c r="I125" s="32">
        <f>BELKNAP!I125+CARROLL!I125+CHESHIRE!I125+COOS!I125+GRAFTON!I125+HILLSBOROUGH!I125+MERRIMACK!I125+ROCKINGHAM!I125+STRAFFORD!I125+SULLIVAN!I125</f>
        <v>104762.2145685172</v>
      </c>
    </row>
    <row r="126" spans="1:9" s="31" customFormat="1" ht="12.75" x14ac:dyDescent="0.2">
      <c r="A126" s="31" t="s">
        <v>54</v>
      </c>
      <c r="B126" s="38"/>
      <c r="C126" s="32">
        <f>BELKNAP!C126+CARROLL!C126+CHESHIRE!C126+COOS!C126+GRAFTON!C126+HILLSBOROUGH!C126+MERRIMACK!C126+ROCKINGHAM!C126+STRAFFORD!C126+SULLIVAN!C126</f>
        <v>110046.16414020919</v>
      </c>
      <c r="E126" s="37" t="s">
        <v>54</v>
      </c>
      <c r="F126" s="37"/>
      <c r="G126" s="32">
        <f>BELKNAP!G126+CARROLL!G126+CHESHIRE!G126+COOS!G126+GRAFTON!G126+HILLSBOROUGH!G126+MERRIMACK!G126+ROCKINGHAM!G126+STRAFFORD!G126+SULLIVAN!G126</f>
        <v>128037.85052576057</v>
      </c>
      <c r="H126" s="32">
        <f>BELKNAP!H126+CARROLL!H126+CHESHIRE!H126+COOS!H126+GRAFTON!H126+HILLSBOROUGH!H126+MERRIMACK!H126+ROCKINGHAM!H126+STRAFFORD!H126+SULLIVAN!H126</f>
        <v>125391.01092502858</v>
      </c>
      <c r="I126" s="32">
        <f>BELKNAP!I126+CARROLL!I126+CHESHIRE!I126+COOS!I126+GRAFTON!I126+HILLSBOROUGH!I126+MERRIMACK!I126+ROCKINGHAM!I126+STRAFFORD!I126+SULLIVAN!I126</f>
        <v>122744.17132429661</v>
      </c>
    </row>
    <row r="127" spans="1:9" s="31" customFormat="1" ht="12.75" x14ac:dyDescent="0.2">
      <c r="A127" s="31" t="s">
        <v>55</v>
      </c>
      <c r="B127" s="38"/>
      <c r="C127" s="32">
        <f>BELKNAP!C127+CARROLL!C127+CHESHIRE!C127+COOS!C127+GRAFTON!C127+HILLSBOROUGH!C127+MERRIMACK!C127+ROCKINGHAM!C127+STRAFFORD!C127+SULLIVAN!C127</f>
        <v>120610.11418827844</v>
      </c>
      <c r="E127" s="37" t="s">
        <v>55</v>
      </c>
      <c r="F127" s="37"/>
      <c r="G127" s="32">
        <f>BELKNAP!G127+CARROLL!G127+CHESHIRE!G127+COOS!G127+GRAFTON!G127+HILLSBOROUGH!G127+MERRIMACK!G127+ROCKINGHAM!G127+STRAFFORD!G127+SULLIVAN!G127</f>
        <v>140266.01146106541</v>
      </c>
      <c r="H127" s="32">
        <f>BELKNAP!H127+CARROLL!H127+CHESHIRE!H127+COOS!H127+GRAFTON!H127+HILLSBOROUGH!H127+MERRIMACK!H127+ROCKINGHAM!H127+STRAFFORD!H127+SULLIVAN!H127</f>
        <v>137368.10763042362</v>
      </c>
      <c r="I127" s="32">
        <f>BELKNAP!I127+CARROLL!I127+CHESHIRE!I127+COOS!I127+GRAFTON!I127+HILLSBOROUGH!I127+MERRIMACK!I127+ROCKINGHAM!I127+STRAFFORD!I127+SULLIVAN!I127</f>
        <v>134470.20379978183</v>
      </c>
    </row>
    <row r="128" spans="1:9" s="31" customFormat="1" ht="12.75" x14ac:dyDescent="0.2">
      <c r="A128" s="31" t="s">
        <v>57</v>
      </c>
      <c r="B128" s="38"/>
      <c r="C128" s="32">
        <f>BELKNAP!C128+CARROLL!C128+CHESHIRE!C128+COOS!C128+GRAFTON!C128+HILLSBOROUGH!C128+MERRIMACK!C128+ROCKINGHAM!C128+STRAFFORD!C128+SULLIVAN!C128</f>
        <v>144435</v>
      </c>
      <c r="E128" s="37" t="s">
        <v>57</v>
      </c>
      <c r="F128" s="37"/>
      <c r="G128" s="32">
        <f>BELKNAP!G128+CARROLL!G128+CHESHIRE!G128+COOS!G128+GRAFTON!G128+HILLSBOROUGH!G128+MERRIMACK!G128+ROCKINGHAM!G128+STRAFFORD!G128+SULLIVAN!G128</f>
        <v>167917.57612217899</v>
      </c>
      <c r="H128" s="32">
        <f>BELKNAP!H128+CARROLL!H128+CHESHIRE!H128+COOS!H128+GRAFTON!H128+HILLSBOROUGH!H128+MERRIMACK!H128+ROCKINGHAM!H128+STRAFFORD!H128+SULLIVAN!H128</f>
        <v>164447.92296932847</v>
      </c>
      <c r="I128" s="32">
        <f>BELKNAP!I128+CARROLL!I128+CHESHIRE!I128+COOS!I128+GRAFTON!I128+HILLSBOROUGH!I128+MERRIMACK!I128+ROCKINGHAM!I128+STRAFFORD!I128+SULLIVAN!I128</f>
        <v>160978.26981647796</v>
      </c>
    </row>
    <row r="129" spans="1:10" s="31" customFormat="1" ht="12.75" x14ac:dyDescent="0.2">
      <c r="B129" s="38"/>
      <c r="C129" s="32"/>
      <c r="E129" s="37"/>
      <c r="F129" s="37"/>
      <c r="G129" s="32"/>
      <c r="H129" s="32"/>
      <c r="I129" s="32"/>
    </row>
    <row r="130" spans="1:10" s="31" customFormat="1" ht="12.75" x14ac:dyDescent="0.2">
      <c r="A130" s="21" t="s">
        <v>58</v>
      </c>
      <c r="B130" s="38"/>
      <c r="C130" s="38"/>
      <c r="E130" s="64" t="s">
        <v>58</v>
      </c>
      <c r="F130" s="64"/>
      <c r="G130" s="38"/>
      <c r="H130" s="38"/>
      <c r="I130" s="38"/>
    </row>
    <row r="131" spans="1:10" s="31" customFormat="1" ht="12.75" x14ac:dyDescent="0.2">
      <c r="A131" s="31" t="s">
        <v>50</v>
      </c>
      <c r="B131" s="38"/>
      <c r="C131" s="32">
        <f>C113+C122</f>
        <v>59516.188457691533</v>
      </c>
      <c r="E131" s="37" t="s">
        <v>50</v>
      </c>
      <c r="F131" s="37"/>
      <c r="G131" s="32">
        <f t="shared" ref="G131:I137" si="16">G113+G122</f>
        <v>68695.900841824565</v>
      </c>
      <c r="H131" s="32">
        <f t="shared" si="16"/>
        <v>67298.189373155386</v>
      </c>
      <c r="I131" s="32">
        <f t="shared" si="16"/>
        <v>65900.477904486223</v>
      </c>
    </row>
    <row r="132" spans="1:10" s="31" customFormat="1" ht="12.75" x14ac:dyDescent="0.2">
      <c r="A132" s="31" t="s">
        <v>51</v>
      </c>
      <c r="B132" s="38"/>
      <c r="C132" s="32">
        <f t="shared" ref="C132:C137" si="17">C114+C123</f>
        <v>115397.20102342695</v>
      </c>
      <c r="E132" s="37" t="s">
        <v>51</v>
      </c>
      <c r="F132" s="37"/>
      <c r="G132" s="32">
        <f t="shared" si="16"/>
        <v>132995.01354458887</v>
      </c>
      <c r="H132" s="32">
        <f t="shared" si="16"/>
        <v>130247.57600744793</v>
      </c>
      <c r="I132" s="32">
        <f t="shared" si="16"/>
        <v>127500.13847030702</v>
      </c>
    </row>
    <row r="133" spans="1:10" s="31" customFormat="1" ht="12.75" x14ac:dyDescent="0.2">
      <c r="A133" s="31" t="s">
        <v>52</v>
      </c>
      <c r="B133" s="38"/>
      <c r="C133" s="32">
        <f t="shared" si="17"/>
        <v>144759.96870997571</v>
      </c>
      <c r="E133" s="37" t="s">
        <v>52</v>
      </c>
      <c r="F133" s="37"/>
      <c r="G133" s="32">
        <f t="shared" si="16"/>
        <v>166736.64868553763</v>
      </c>
      <c r="H133" s="32">
        <f t="shared" si="16"/>
        <v>163310.63924656075</v>
      </c>
      <c r="I133" s="32">
        <f t="shared" si="16"/>
        <v>159884.62980758393</v>
      </c>
    </row>
    <row r="134" spans="1:10" s="31" customFormat="1" ht="12.75" x14ac:dyDescent="0.2">
      <c r="A134" s="31" t="s">
        <v>53</v>
      </c>
      <c r="B134" s="38"/>
      <c r="C134" s="32">
        <f t="shared" si="17"/>
        <v>201496.93113529548</v>
      </c>
      <c r="E134" s="37" t="s">
        <v>53</v>
      </c>
      <c r="F134" s="37"/>
      <c r="G134" s="32">
        <f t="shared" si="16"/>
        <v>231931.65301730306</v>
      </c>
      <c r="H134" s="32">
        <f t="shared" si="16"/>
        <v>227204.80558472066</v>
      </c>
      <c r="I134" s="32">
        <f t="shared" si="16"/>
        <v>222477.95815213828</v>
      </c>
    </row>
    <row r="135" spans="1:10" s="31" customFormat="1" ht="12.75" x14ac:dyDescent="0.2">
      <c r="A135" s="31" t="s">
        <v>54</v>
      </c>
      <c r="B135" s="38"/>
      <c r="C135" s="32">
        <f t="shared" si="17"/>
        <v>255620.60945626837</v>
      </c>
      <c r="E135" s="37" t="s">
        <v>54</v>
      </c>
      <c r="F135" s="37"/>
      <c r="G135" s="32">
        <f t="shared" si="16"/>
        <v>294129.93714048434</v>
      </c>
      <c r="H135" s="32">
        <f t="shared" si="16"/>
        <v>288129.72858048411</v>
      </c>
      <c r="I135" s="32">
        <f t="shared" si="16"/>
        <v>282129.52002048388</v>
      </c>
    </row>
    <row r="136" spans="1:10" s="31" customFormat="1" ht="12.75" x14ac:dyDescent="0.2">
      <c r="A136" s="31" t="s">
        <v>55</v>
      </c>
      <c r="B136" s="38"/>
      <c r="C136" s="32">
        <f t="shared" si="17"/>
        <v>302330.17781721306</v>
      </c>
      <c r="E136" s="37" t="s">
        <v>55</v>
      </c>
      <c r="F136" s="37"/>
      <c r="G136" s="32">
        <f t="shared" si="16"/>
        <v>347545.65071307437</v>
      </c>
      <c r="H136" s="32">
        <f t="shared" si="16"/>
        <v>340476.06238438841</v>
      </c>
      <c r="I136" s="32">
        <f t="shared" si="16"/>
        <v>333406.47405570233</v>
      </c>
    </row>
    <row r="137" spans="1:10" s="31" customFormat="1" ht="12.75" x14ac:dyDescent="0.2">
      <c r="A137" s="31" t="s">
        <v>59</v>
      </c>
      <c r="B137" s="38"/>
      <c r="C137" s="32">
        <f t="shared" si="17"/>
        <v>515185</v>
      </c>
      <c r="E137" s="37" t="s">
        <v>59</v>
      </c>
      <c r="F137" s="37"/>
      <c r="G137" s="32">
        <f t="shared" si="16"/>
        <v>590416.88200029382</v>
      </c>
      <c r="H137" s="32">
        <f t="shared" si="16"/>
        <v>578574.94100014691</v>
      </c>
      <c r="I137" s="32">
        <f t="shared" si="16"/>
        <v>566733</v>
      </c>
    </row>
    <row r="138" spans="1:10" s="31" customFormat="1" ht="12.75" x14ac:dyDescent="0.2">
      <c r="B138" s="38"/>
      <c r="C138" s="38"/>
      <c r="E138" s="37"/>
      <c r="F138" s="37"/>
      <c r="G138" s="34"/>
      <c r="H138" s="45"/>
      <c r="I138" s="45"/>
      <c r="J138" s="56"/>
    </row>
    <row r="139" spans="1:10" s="31" customFormat="1" ht="12.75" x14ac:dyDescent="0.2">
      <c r="A139" s="21" t="s">
        <v>60</v>
      </c>
      <c r="B139" s="38"/>
      <c r="C139" s="38"/>
      <c r="E139" s="37"/>
      <c r="F139" s="37"/>
      <c r="G139" s="34"/>
      <c r="H139" s="45"/>
      <c r="I139" s="45"/>
      <c r="J139" s="56"/>
    </row>
    <row r="140" spans="1:10" s="31" customFormat="1" ht="12.75" x14ac:dyDescent="0.2">
      <c r="A140" s="21" t="s">
        <v>49</v>
      </c>
      <c r="B140" s="38"/>
      <c r="C140" s="38"/>
      <c r="D140" s="31" t="s">
        <v>210</v>
      </c>
      <c r="E140" s="37"/>
      <c r="F140" s="37" t="s">
        <v>215</v>
      </c>
      <c r="G140" s="34"/>
      <c r="H140" s="45"/>
      <c r="I140" s="45"/>
      <c r="J140" s="56"/>
    </row>
    <row r="141" spans="1:10" s="31" customFormat="1" ht="12.75" x14ac:dyDescent="0.2">
      <c r="A141" s="31" t="s">
        <v>50</v>
      </c>
      <c r="B141" s="38"/>
      <c r="C141" s="38">
        <f>C113/C119</f>
        <v>6.4534728982209119E-2</v>
      </c>
      <c r="D141" s="38">
        <v>7.6394494275703412E-2</v>
      </c>
      <c r="E141" s="43">
        <f>+C141-D141</f>
        <v>-1.1859765293494293E-2</v>
      </c>
      <c r="F141" s="43">
        <f t="shared" ref="F141:F146" si="18">+E141/C141</f>
        <v>-0.18377338032617729</v>
      </c>
      <c r="G141" s="34" t="s">
        <v>216</v>
      </c>
      <c r="H141" s="45"/>
      <c r="I141" s="45"/>
      <c r="J141" s="56"/>
    </row>
    <row r="142" spans="1:10" s="31" customFormat="1" ht="12.75" x14ac:dyDescent="0.2">
      <c r="A142" s="31" t="s">
        <v>51</v>
      </c>
      <c r="B142" s="38"/>
      <c r="C142" s="38">
        <f>C114/C119</f>
        <v>0.14477178579070443</v>
      </c>
      <c r="D142" s="38">
        <v>0.17580710012304138</v>
      </c>
      <c r="E142" s="43">
        <f t="shared" ref="E142:E147" si="19">+C142-D142</f>
        <v>-3.1035314332336944E-2</v>
      </c>
      <c r="F142" s="43">
        <f t="shared" si="18"/>
        <v>-0.21437405198002105</v>
      </c>
      <c r="G142" s="34"/>
      <c r="H142" s="45"/>
      <c r="I142" s="45"/>
      <c r="J142" s="56"/>
    </row>
    <row r="143" spans="1:10" s="31" customFormat="1" ht="12.75" x14ac:dyDescent="0.2">
      <c r="A143" s="31" t="s">
        <v>52</v>
      </c>
      <c r="B143" s="38"/>
      <c r="C143" s="38">
        <f>C115/C119</f>
        <v>0.19134097471200262</v>
      </c>
      <c r="D143" s="38">
        <v>0.23351865120033374</v>
      </c>
      <c r="E143" s="43">
        <f t="shared" si="19"/>
        <v>-4.2177676488331123E-2</v>
      </c>
      <c r="F143" s="43">
        <f t="shared" si="18"/>
        <v>-0.22043201437546225</v>
      </c>
      <c r="G143" s="34"/>
      <c r="H143" s="45"/>
      <c r="I143" s="45"/>
      <c r="J143" s="56"/>
    </row>
    <row r="144" spans="1:10" s="31" customFormat="1" ht="12.75" x14ac:dyDescent="0.2">
      <c r="A144" s="31" t="s">
        <v>53</v>
      </c>
      <c r="B144" s="38"/>
      <c r="C144" s="38">
        <f>C116/C119</f>
        <v>0.29007648269396907</v>
      </c>
      <c r="D144" s="38">
        <v>0.35788114866846238</v>
      </c>
      <c r="E144" s="43">
        <f t="shared" si="19"/>
        <v>-6.7804665974493306E-2</v>
      </c>
      <c r="F144" s="43">
        <f t="shared" si="18"/>
        <v>-0.2337475459740295</v>
      </c>
      <c r="G144" s="34"/>
      <c r="H144" s="45"/>
      <c r="I144" s="45"/>
      <c r="J144" s="56"/>
    </row>
    <row r="145" spans="1:10" s="31" customFormat="1" ht="12.75" x14ac:dyDescent="0.2">
      <c r="A145" s="31" t="s">
        <v>54</v>
      </c>
      <c r="B145" s="38"/>
      <c r="C145" s="38">
        <f>C117/C119</f>
        <v>0.39264853760231744</v>
      </c>
      <c r="D145" s="38">
        <v>0.48627045525314178</v>
      </c>
      <c r="E145" s="43">
        <f t="shared" si="19"/>
        <v>-9.3621917650824338E-2</v>
      </c>
      <c r="F145" s="43">
        <f t="shared" si="18"/>
        <v>-0.23843694471019922</v>
      </c>
      <c r="G145" s="34"/>
      <c r="H145" s="45"/>
      <c r="I145" s="45"/>
      <c r="J145" s="56"/>
    </row>
    <row r="146" spans="1:10" s="31" customFormat="1" ht="12.75" x14ac:dyDescent="0.2">
      <c r="A146" s="31" t="s">
        <v>55</v>
      </c>
      <c r="B146" s="38"/>
      <c r="C146" s="38">
        <f>C118/C119</f>
        <v>0.49014177647723428</v>
      </c>
      <c r="D146" s="38">
        <v>0.63479380742057478</v>
      </c>
      <c r="E146" s="43">
        <f t="shared" si="19"/>
        <v>-0.1446520309433405</v>
      </c>
      <c r="F146" s="43">
        <f t="shared" si="18"/>
        <v>-0.29512283564765507</v>
      </c>
      <c r="G146" s="34"/>
      <c r="H146" s="45"/>
      <c r="I146" s="45"/>
      <c r="J146" s="56"/>
    </row>
    <row r="147" spans="1:10" s="31" customFormat="1" ht="12.75" x14ac:dyDescent="0.2">
      <c r="A147" s="31" t="s">
        <v>56</v>
      </c>
      <c r="B147" s="38"/>
      <c r="C147" s="38">
        <f>C119/C119</f>
        <v>1</v>
      </c>
      <c r="D147" s="38">
        <v>1</v>
      </c>
      <c r="E147" s="43">
        <f t="shared" si="19"/>
        <v>0</v>
      </c>
      <c r="F147" s="37"/>
      <c r="G147" s="34"/>
      <c r="H147" s="45"/>
      <c r="I147" s="45"/>
      <c r="J147" s="56"/>
    </row>
    <row r="148" spans="1:10" s="31" customFormat="1" ht="12.75" x14ac:dyDescent="0.2">
      <c r="B148" s="38"/>
      <c r="C148" s="38"/>
      <c r="D148" s="38"/>
      <c r="E148" s="37"/>
      <c r="F148" s="37"/>
      <c r="G148" s="34"/>
      <c r="H148" s="45"/>
      <c r="I148" s="45"/>
      <c r="J148" s="56"/>
    </row>
    <row r="149" spans="1:10" s="31" customFormat="1" ht="12.75" x14ac:dyDescent="0.2">
      <c r="A149" s="21" t="s">
        <v>0</v>
      </c>
      <c r="B149" s="38"/>
      <c r="C149" s="38"/>
      <c r="D149" s="38"/>
      <c r="E149" s="37"/>
      <c r="F149" s="37"/>
      <c r="G149" s="34"/>
      <c r="H149" s="45"/>
      <c r="I149" s="45"/>
      <c r="J149" s="56"/>
    </row>
    <row r="150" spans="1:10" s="31" customFormat="1" ht="12.75" x14ac:dyDescent="0.2">
      <c r="A150" s="31" t="s">
        <v>50</v>
      </c>
      <c r="B150" s="38"/>
      <c r="C150" s="38">
        <f>C122/C128</f>
        <v>0.24640798758983282</v>
      </c>
      <c r="D150" s="38">
        <v>0.25297066533169243</v>
      </c>
      <c r="E150" s="43">
        <f>+C150-D150</f>
        <v>-6.5626777418596183E-3</v>
      </c>
      <c r="F150" s="43">
        <f t="shared" ref="F150:F155" si="20">+E150/C150</f>
        <v>-2.6633380703484973E-2</v>
      </c>
      <c r="G150" s="34"/>
      <c r="H150" s="45"/>
      <c r="I150" s="45"/>
      <c r="J150" s="56"/>
    </row>
    <row r="151" spans="1:10" s="31" customFormat="1" ht="12.75" x14ac:dyDescent="0.2">
      <c r="A151" s="31" t="s">
        <v>51</v>
      </c>
      <c r="B151" s="38"/>
      <c r="C151" s="38">
        <f>C123/C128</f>
        <v>0.42734144384341244</v>
      </c>
      <c r="D151" s="38">
        <v>0.45104746806838963</v>
      </c>
      <c r="E151" s="43">
        <f t="shared" ref="E151:E156" si="21">+C151-D151</f>
        <v>-2.3706024224977196E-2</v>
      </c>
      <c r="F151" s="43">
        <f t="shared" si="20"/>
        <v>-5.5473262812449381E-2</v>
      </c>
      <c r="G151" s="34"/>
      <c r="H151" s="45"/>
      <c r="I151" s="45"/>
      <c r="J151" s="56"/>
    </row>
    <row r="152" spans="1:10" s="31" customFormat="1" ht="12.75" x14ac:dyDescent="0.2">
      <c r="A152" s="31" t="s">
        <v>52</v>
      </c>
      <c r="B152" s="38"/>
      <c r="C152" s="38">
        <f>C124/C128</f>
        <v>0.51109704943746825</v>
      </c>
      <c r="D152" s="38">
        <v>0.54122775912058574</v>
      </c>
      <c r="E152" s="43">
        <f t="shared" si="21"/>
        <v>-3.0130709683117485E-2</v>
      </c>
      <c r="F152" s="43">
        <f t="shared" si="20"/>
        <v>-5.8953010423911517E-2</v>
      </c>
      <c r="G152" s="34"/>
      <c r="H152" s="45"/>
      <c r="I152" s="45"/>
      <c r="J152" s="56"/>
    </row>
    <row r="153" spans="1:10" s="31" customFormat="1" ht="12.75" x14ac:dyDescent="0.2">
      <c r="A153" s="31" t="s">
        <v>53</v>
      </c>
      <c r="B153" s="38"/>
      <c r="C153" s="38">
        <f>C125/C128</f>
        <v>0.65047305138301981</v>
      </c>
      <c r="D153" s="38">
        <v>0.6946107368084381</v>
      </c>
      <c r="E153" s="43">
        <f t="shared" si="21"/>
        <v>-4.4137685425418294E-2</v>
      </c>
      <c r="F153" s="43">
        <f t="shared" si="20"/>
        <v>-6.7854748681092675E-2</v>
      </c>
      <c r="G153" s="34"/>
      <c r="H153" s="45"/>
      <c r="I153" s="45"/>
      <c r="J153" s="56"/>
    </row>
    <row r="154" spans="1:10" s="31" customFormat="1" ht="12.75" x14ac:dyDescent="0.2">
      <c r="A154" s="31" t="s">
        <v>54</v>
      </c>
      <c r="B154" s="38"/>
      <c r="C154" s="38">
        <f>C126/C128</f>
        <v>0.76190787648568004</v>
      </c>
      <c r="D154" s="38">
        <v>0.8011514152812832</v>
      </c>
      <c r="E154" s="43">
        <f t="shared" si="21"/>
        <v>-3.9243538795603161E-2</v>
      </c>
      <c r="F154" s="43">
        <f t="shared" si="20"/>
        <v>-5.1506934114679333E-2</v>
      </c>
      <c r="G154" s="34"/>
      <c r="H154" s="45"/>
      <c r="I154" s="45"/>
      <c r="J154" s="56"/>
    </row>
    <row r="155" spans="1:10" s="31" customFormat="1" ht="12.75" x14ac:dyDescent="0.2">
      <c r="A155" s="31" t="s">
        <v>55</v>
      </c>
      <c r="B155" s="38"/>
      <c r="C155" s="38">
        <f>C127/C128</f>
        <v>0.83504769749907182</v>
      </c>
      <c r="D155" s="38">
        <v>0.89228426607705302</v>
      </c>
      <c r="E155" s="43">
        <f t="shared" si="21"/>
        <v>-5.7236568577981206E-2</v>
      </c>
      <c r="F155" s="43">
        <f t="shared" si="20"/>
        <v>-6.8542873358494377E-2</v>
      </c>
      <c r="G155" s="34"/>
      <c r="H155" s="45"/>
      <c r="I155" s="45"/>
      <c r="J155" s="56"/>
    </row>
    <row r="156" spans="1:10" s="31" customFormat="1" ht="12.75" x14ac:dyDescent="0.2">
      <c r="A156" s="31" t="s">
        <v>57</v>
      </c>
      <c r="B156" s="38"/>
      <c r="C156" s="38">
        <f>C128/C128</f>
        <v>1</v>
      </c>
      <c r="D156" s="38">
        <v>1</v>
      </c>
      <c r="E156" s="43">
        <f t="shared" si="21"/>
        <v>0</v>
      </c>
      <c r="F156" s="37"/>
      <c r="G156" s="34"/>
      <c r="H156" s="45"/>
      <c r="I156" s="45"/>
      <c r="J156" s="56"/>
    </row>
    <row r="157" spans="1:10" s="31" customFormat="1" ht="12.75" x14ac:dyDescent="0.2">
      <c r="B157" s="38"/>
      <c r="C157" s="38"/>
      <c r="D157" s="38"/>
      <c r="E157" s="37"/>
      <c r="F157" s="37"/>
      <c r="G157" s="34"/>
      <c r="H157" s="45"/>
      <c r="I157" s="45"/>
      <c r="J157" s="56"/>
    </row>
    <row r="158" spans="1:10" s="31" customFormat="1" ht="12.75" x14ac:dyDescent="0.2">
      <c r="A158" s="21" t="s">
        <v>58</v>
      </c>
      <c r="B158" s="38"/>
      <c r="C158" s="38"/>
      <c r="D158" s="38"/>
      <c r="E158" s="37"/>
      <c r="F158" s="37"/>
      <c r="G158" s="34"/>
      <c r="H158" s="45"/>
      <c r="I158" s="45"/>
      <c r="J158" s="56"/>
    </row>
    <row r="159" spans="1:10" s="31" customFormat="1" ht="12.75" x14ac:dyDescent="0.2">
      <c r="A159" s="31" t="s">
        <v>50</v>
      </c>
      <c r="B159" s="38"/>
      <c r="C159" s="38">
        <f>C131/C137</f>
        <v>0.11552391559865201</v>
      </c>
      <c r="D159" s="38">
        <v>0.12990354104246471</v>
      </c>
      <c r="E159" s="43">
        <f>+C159-D159</f>
        <v>-1.4379625443812702E-2</v>
      </c>
      <c r="F159" s="43">
        <f t="shared" ref="F159:F164" si="22">+E159/C159</f>
        <v>-0.12447314799967264</v>
      </c>
      <c r="G159" s="34"/>
      <c r="H159" s="45"/>
      <c r="I159" s="45"/>
      <c r="J159" s="56"/>
    </row>
    <row r="160" spans="1:10" s="31" customFormat="1" ht="12.75" x14ac:dyDescent="0.2">
      <c r="A160" s="31" t="s">
        <v>51</v>
      </c>
      <c r="B160" s="38"/>
      <c r="C160" s="38">
        <f>C132/C137</f>
        <v>0.22399177193324138</v>
      </c>
      <c r="D160" s="38">
        <v>0.25921501203103203</v>
      </c>
      <c r="E160" s="43">
        <f t="shared" ref="E160:E165" si="23">+C160-D160</f>
        <v>-3.5223240097790653E-2</v>
      </c>
      <c r="F160" s="43">
        <f t="shared" si="22"/>
        <v>-0.15725238384331638</v>
      </c>
      <c r="G160" s="34"/>
      <c r="H160" s="45"/>
      <c r="I160" s="45"/>
      <c r="J160" s="56"/>
    </row>
    <row r="161" spans="1:10" s="31" customFormat="1" ht="12.75" x14ac:dyDescent="0.2">
      <c r="A161" s="31" t="s">
        <v>52</v>
      </c>
      <c r="B161" s="38"/>
      <c r="C161" s="38">
        <f>C133/C137</f>
        <v>0.28098638102812723</v>
      </c>
      <c r="D161" s="38">
        <v>0.32676578045789562</v>
      </c>
      <c r="E161" s="43">
        <f t="shared" si="23"/>
        <v>-4.5779399429768386E-2</v>
      </c>
      <c r="F161" s="43">
        <f t="shared" si="22"/>
        <v>-0.16292390849073141</v>
      </c>
      <c r="G161" s="34"/>
      <c r="H161" s="45"/>
      <c r="I161" s="45"/>
      <c r="J161" s="56"/>
    </row>
    <row r="162" spans="1:10" s="31" customFormat="1" ht="12.75" x14ac:dyDescent="0.2">
      <c r="A162" s="31" t="s">
        <v>53</v>
      </c>
      <c r="B162" s="38"/>
      <c r="C162" s="38">
        <f>C134/C137</f>
        <v>0.3911156790964323</v>
      </c>
      <c r="D162" s="38">
        <v>0.45992254628049373</v>
      </c>
      <c r="E162" s="43">
        <f t="shared" si="23"/>
        <v>-6.8806867184061427E-2</v>
      </c>
      <c r="F162" s="43">
        <f t="shared" si="22"/>
        <v>-0.17592459433746355</v>
      </c>
      <c r="G162" s="34"/>
      <c r="H162" s="45"/>
      <c r="I162" s="45"/>
      <c r="J162" s="56"/>
    </row>
    <row r="163" spans="1:10" s="31" customFormat="1" ht="12.75" x14ac:dyDescent="0.2">
      <c r="A163" s="31" t="s">
        <v>54</v>
      </c>
      <c r="B163" s="38"/>
      <c r="C163" s="38">
        <f>C135/C137</f>
        <v>0.49617246126395059</v>
      </c>
      <c r="D163" s="38">
        <v>0.5816909183617569</v>
      </c>
      <c r="E163" s="43">
        <f t="shared" si="23"/>
        <v>-8.5518457097806311E-2</v>
      </c>
      <c r="F163" s="43">
        <f t="shared" si="22"/>
        <v>-0.17235631514082109</v>
      </c>
      <c r="G163" s="34"/>
      <c r="H163" s="45"/>
      <c r="I163" s="45"/>
      <c r="J163" s="56"/>
    </row>
    <row r="164" spans="1:10" s="31" customFormat="1" ht="12.75" x14ac:dyDescent="0.2">
      <c r="A164" s="31" t="s">
        <v>55</v>
      </c>
      <c r="B164" s="38"/>
      <c r="C164" s="38">
        <f>C136/C137</f>
        <v>0.58683808305213281</v>
      </c>
      <c r="D164" s="38">
        <v>0.71282284674024343</v>
      </c>
      <c r="E164" s="43">
        <f t="shared" si="23"/>
        <v>-0.12598476368811062</v>
      </c>
      <c r="F164" s="43">
        <f t="shared" si="22"/>
        <v>-0.21468402839990625</v>
      </c>
      <c r="G164" s="34"/>
      <c r="H164" s="45"/>
      <c r="I164" s="45"/>
      <c r="J164" s="56"/>
    </row>
    <row r="165" spans="1:10" s="31" customFormat="1" ht="12.75" x14ac:dyDescent="0.2">
      <c r="A165" s="31" t="s">
        <v>59</v>
      </c>
      <c r="B165" s="38"/>
      <c r="C165" s="38">
        <f>C137/C137</f>
        <v>1</v>
      </c>
      <c r="D165" s="38">
        <v>1</v>
      </c>
      <c r="E165" s="43">
        <f t="shared" si="23"/>
        <v>0</v>
      </c>
      <c r="F165" s="37"/>
      <c r="G165" s="34"/>
      <c r="H165" s="45"/>
      <c r="I165" s="45"/>
      <c r="J165" s="56"/>
    </row>
    <row r="166" spans="1:10" s="31" customFormat="1" ht="12.75" x14ac:dyDescent="0.2">
      <c r="E166" s="37"/>
      <c r="F166" s="37"/>
      <c r="G166" s="34"/>
      <c r="H166" s="45"/>
      <c r="I166" s="45"/>
      <c r="J166" s="56"/>
    </row>
  </sheetData>
  <mergeCells count="2">
    <mergeCell ref="G2:H3"/>
    <mergeCell ref="K84:M84"/>
  </mergeCells>
  <phoneticPr fontId="0" type="noConversion"/>
  <printOptions horizontalCentered="1" verticalCentered="1"/>
  <pageMargins left="0.75" right="0.75" top="0.75" bottom="0.75" header="0.5" footer="0.5"/>
  <pageSetup scale="70" orientation="landscape" horizontalDpi="4294967293" verticalDpi="300" r:id="rId1"/>
  <headerFooter alignWithMargins="0">
    <oddFooter>&amp;R&amp;P of &amp;N</oddFooter>
  </headerFooter>
  <rowBreaks count="4" manualBreakCount="4">
    <brk id="43" max="8" man="1"/>
    <brk id="77" max="8" man="1"/>
    <brk id="108" max="16383" man="1"/>
    <brk id="1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2"/>
  <sheetViews>
    <sheetView zoomScaleNormal="100" zoomScaleSheetLayoutView="100" workbookViewId="0">
      <selection activeCell="H150" sqref="H150:H160"/>
    </sheetView>
  </sheetViews>
  <sheetFormatPr defaultRowHeight="14.25" x14ac:dyDescent="0.2"/>
  <cols>
    <col min="1" max="1" width="55.7109375" style="31" customWidth="1"/>
    <col min="2" max="2" width="11.42578125" style="31" bestFit="1" customWidth="1"/>
    <col min="3" max="3" width="10.42578125" style="31" bestFit="1" customWidth="1"/>
    <col min="4" max="4" width="11.7109375" style="31" customWidth="1"/>
    <col min="5" max="5" width="12.7109375" style="31" customWidth="1"/>
    <col min="6" max="6" width="11.7109375" style="31" customWidth="1"/>
    <col min="7" max="7" width="15.7109375" style="31" customWidth="1"/>
    <col min="8" max="8" width="15.7109375" style="30" customWidth="1"/>
    <col min="9" max="9" width="15.7109375" style="31" customWidth="1"/>
  </cols>
  <sheetData>
    <row r="1" spans="1:10" ht="78.75" x14ac:dyDescent="0.2">
      <c r="A1" s="171" t="s">
        <v>15</v>
      </c>
      <c r="B1" s="172">
        <v>1990</v>
      </c>
      <c r="C1" s="172">
        <v>2000</v>
      </c>
      <c r="D1" s="138" t="s">
        <v>80</v>
      </c>
      <c r="E1" s="137">
        <v>2010</v>
      </c>
      <c r="F1" s="138" t="s">
        <v>182</v>
      </c>
      <c r="G1" s="137" t="s">
        <v>183</v>
      </c>
      <c r="H1" s="137" t="s">
        <v>213</v>
      </c>
      <c r="I1" s="173" t="s">
        <v>184</v>
      </c>
    </row>
    <row r="2" spans="1:10" s="147" customFormat="1" ht="12.75" x14ac:dyDescent="0.2">
      <c r="A2" s="37" t="s">
        <v>28</v>
      </c>
      <c r="B2" s="40">
        <v>17600</v>
      </c>
      <c r="C2" s="40">
        <v>22567</v>
      </c>
      <c r="D2" s="40">
        <f>C2-B2</f>
        <v>4967</v>
      </c>
      <c r="E2" s="217">
        <v>20713</v>
      </c>
      <c r="F2" s="70">
        <f>E2-C2</f>
        <v>-1854</v>
      </c>
      <c r="G2" s="37" t="s">
        <v>196</v>
      </c>
      <c r="H2" s="37"/>
      <c r="I2" s="250" t="s">
        <v>170</v>
      </c>
    </row>
    <row r="3" spans="1:10" s="147" customFormat="1" ht="12.75" customHeight="1" x14ac:dyDescent="0.2">
      <c r="A3" s="37" t="s">
        <v>33</v>
      </c>
      <c r="B3" s="43">
        <f>B2/'STATE TOTALS'!$B$2</f>
        <v>4.0930137371773555E-2</v>
      </c>
      <c r="C3" s="43">
        <f>C2/'STATE TOTALS'!$C$2</f>
        <v>4.2619130355955763E-2</v>
      </c>
      <c r="D3" s="43">
        <f>D2/'STATE TOTALS'!$D$2</f>
        <v>4.991809292182145E-2</v>
      </c>
      <c r="E3" s="43">
        <f>E2/'STATE TOTALS'!$E$2</f>
        <v>4.0345939207417435E-2</v>
      </c>
      <c r="F3" s="43">
        <f>F2/'STATE TOTALS'!$F$2</f>
        <v>0.11501954215522055</v>
      </c>
      <c r="G3" s="37" t="s">
        <v>40</v>
      </c>
      <c r="H3" s="37"/>
      <c r="I3" s="251"/>
      <c r="J3" s="64" t="s">
        <v>119</v>
      </c>
    </row>
    <row r="4" spans="1:10" s="147" customFormat="1" ht="12.75" x14ac:dyDescent="0.2">
      <c r="A4" s="37" t="s">
        <v>29</v>
      </c>
      <c r="B4" s="139">
        <v>3058</v>
      </c>
      <c r="C4" s="40">
        <v>3323</v>
      </c>
      <c r="D4" s="40">
        <f>C4-B4</f>
        <v>265</v>
      </c>
      <c r="E4" s="40">
        <f>E5-E2</f>
        <v>4200</v>
      </c>
      <c r="F4" s="40">
        <f>E4-C4</f>
        <v>877</v>
      </c>
      <c r="G4" s="166" t="s">
        <v>188</v>
      </c>
      <c r="H4" s="166" t="s">
        <v>34</v>
      </c>
      <c r="I4" s="251"/>
      <c r="J4" s="147" t="s">
        <v>196</v>
      </c>
    </row>
    <row r="5" spans="1:10" s="147" customFormat="1" ht="12.75" x14ac:dyDescent="0.2">
      <c r="A5" s="37" t="s">
        <v>30</v>
      </c>
      <c r="B5" s="139">
        <f>B2+B4</f>
        <v>20658</v>
      </c>
      <c r="C5" s="40">
        <f>C2+C4</f>
        <v>25890</v>
      </c>
      <c r="D5" s="40">
        <f>C5-B5</f>
        <v>5232</v>
      </c>
      <c r="E5" s="217">
        <v>24913</v>
      </c>
      <c r="F5" s="70">
        <f>E5-C5</f>
        <v>-977</v>
      </c>
      <c r="G5" s="217">
        <v>27051</v>
      </c>
      <c r="H5" s="194">
        <f>(E5-B5)/('STATE TOTALS'!E5-'STATE TOTALS'!B5)*('STATE TOTALS'!G5-'STATE TOTALS'!E5)+E5</f>
        <v>27351.65766220411</v>
      </c>
      <c r="I5" s="251"/>
    </row>
    <row r="6" spans="1:10" s="147" customFormat="1" ht="12.75" x14ac:dyDescent="0.2">
      <c r="A6" s="37" t="s">
        <v>33</v>
      </c>
      <c r="B6" s="43">
        <f>B5/'STATE TOTALS'!$B$5</f>
        <v>4.1696943273748968E-2</v>
      </c>
      <c r="C6" s="43">
        <f>C5/'STATE TOTALS'!$C$5</f>
        <v>4.2731163380267743E-2</v>
      </c>
      <c r="D6" s="43">
        <f>D5/'STATE TOTALS'!$D$5</f>
        <v>4.7370279495513763E-2</v>
      </c>
      <c r="E6" s="43">
        <f>E5/'STATE TOTALS'!$E$5</f>
        <v>4.1490272360580491E-2</v>
      </c>
      <c r="F6" s="43">
        <f>F5/'STATE TOTALS'!$F$5</f>
        <v>0.18002579694121984</v>
      </c>
      <c r="G6" s="37"/>
      <c r="H6" s="37"/>
      <c r="I6" s="251"/>
      <c r="J6" s="167"/>
    </row>
    <row r="7" spans="1:10" s="147" customFormat="1" ht="12.75" x14ac:dyDescent="0.2">
      <c r="A7" s="37"/>
      <c r="B7" s="41"/>
      <c r="C7" s="41"/>
      <c r="D7" s="41"/>
      <c r="E7" s="141"/>
      <c r="F7" s="37"/>
      <c r="G7" s="37"/>
      <c r="H7" s="37"/>
      <c r="I7" s="251"/>
      <c r="J7" s="168"/>
    </row>
    <row r="8" spans="1:10" s="147" customFormat="1" ht="12.75" x14ac:dyDescent="0.2">
      <c r="A8" s="37" t="s">
        <v>92</v>
      </c>
      <c r="B8" s="139">
        <v>26619</v>
      </c>
      <c r="C8" s="40">
        <v>31236</v>
      </c>
      <c r="D8" s="40">
        <f>C8-B8</f>
        <v>4617</v>
      </c>
      <c r="E8" s="217">
        <v>31960</v>
      </c>
      <c r="F8" s="70">
        <f>E8-C8</f>
        <v>724</v>
      </c>
      <c r="G8" s="40">
        <f>G5*G9</f>
        <v>32636.733719582855</v>
      </c>
      <c r="H8" s="40">
        <f>H5*H9</f>
        <v>32999.473879359124</v>
      </c>
      <c r="I8" s="251"/>
      <c r="J8" s="168"/>
    </row>
    <row r="9" spans="1:10" s="147" customFormat="1" ht="12.75" x14ac:dyDescent="0.2">
      <c r="A9" s="37" t="s">
        <v>173</v>
      </c>
      <c r="B9" s="191">
        <f>B8/B5</f>
        <v>1.2885564914318908</v>
      </c>
      <c r="C9" s="191">
        <f>C8/C5</f>
        <v>1.2064889918887602</v>
      </c>
      <c r="D9" s="191"/>
      <c r="E9" s="198">
        <f>E8/E5</f>
        <v>1.2828643680006422</v>
      </c>
      <c r="F9" s="199" t="s">
        <v>45</v>
      </c>
      <c r="G9" s="200">
        <f>+C9</f>
        <v>1.2064889918887602</v>
      </c>
      <c r="H9" s="201">
        <f>G9</f>
        <v>1.2064889918887602</v>
      </c>
      <c r="I9" s="251"/>
      <c r="J9" s="168"/>
    </row>
    <row r="10" spans="1:10" s="147" customFormat="1" ht="12.75" x14ac:dyDescent="0.2">
      <c r="A10" s="37"/>
      <c r="B10" s="41"/>
      <c r="C10" s="41"/>
      <c r="D10" s="41"/>
      <c r="E10" s="141"/>
      <c r="F10" s="37"/>
      <c r="G10" s="37" t="s">
        <v>226</v>
      </c>
      <c r="H10" s="37"/>
      <c r="I10" s="251"/>
      <c r="J10" s="168"/>
    </row>
    <row r="11" spans="1:10" s="147" customFormat="1" ht="12.75" x14ac:dyDescent="0.2">
      <c r="A11" s="37" t="s">
        <v>123</v>
      </c>
      <c r="B11" s="149">
        <f>B13/B8</f>
        <v>0.89368496186934143</v>
      </c>
      <c r="C11" s="149">
        <f>C13/C8</f>
        <v>0.90450121654501214</v>
      </c>
      <c r="D11" s="41"/>
      <c r="E11" s="200">
        <f>E13/E8</f>
        <v>0.93792240300375473</v>
      </c>
      <c r="F11" s="202" t="s">
        <v>45</v>
      </c>
      <c r="G11" s="200">
        <f>E11</f>
        <v>0.93792240300375473</v>
      </c>
      <c r="H11" s="201">
        <f>G11</f>
        <v>0.93792240300375473</v>
      </c>
      <c r="I11" s="251"/>
      <c r="J11" s="168"/>
    </row>
    <row r="12" spans="1:10" s="147" customFormat="1" ht="12.75" x14ac:dyDescent="0.2">
      <c r="A12" s="37"/>
      <c r="B12" s="41"/>
      <c r="C12" s="41"/>
      <c r="D12" s="41"/>
      <c r="E12" s="141"/>
      <c r="F12" s="37"/>
      <c r="G12" s="37"/>
      <c r="H12" s="37"/>
      <c r="I12" s="251"/>
      <c r="J12" s="168"/>
    </row>
    <row r="13" spans="1:10" s="147" customFormat="1" ht="12.75" x14ac:dyDescent="0.2">
      <c r="A13" s="37" t="s">
        <v>124</v>
      </c>
      <c r="B13" s="139">
        <v>23789</v>
      </c>
      <c r="C13" s="139">
        <v>28253</v>
      </c>
      <c r="D13" s="40">
        <f>C13-B13</f>
        <v>4464</v>
      </c>
      <c r="E13" s="217">
        <v>29976</v>
      </c>
      <c r="F13" s="70">
        <f>E13-C13</f>
        <v>1723</v>
      </c>
      <c r="G13" s="40">
        <f>G11*G8</f>
        <v>30610.723716464821</v>
      </c>
      <c r="H13" s="40">
        <f>H11*H8</f>
        <v>30950.945838788146</v>
      </c>
      <c r="I13" s="251"/>
      <c r="J13"/>
    </row>
    <row r="14" spans="1:10" s="147" customFormat="1" ht="12.75" x14ac:dyDescent="0.2">
      <c r="A14" s="37" t="s">
        <v>25</v>
      </c>
      <c r="B14" s="139">
        <v>16817</v>
      </c>
      <c r="C14" s="139">
        <v>19044</v>
      </c>
      <c r="D14" s="40">
        <f>C14-B14</f>
        <v>2227</v>
      </c>
      <c r="E14" s="40">
        <v>19899</v>
      </c>
      <c r="F14" s="70">
        <f>E14-C14</f>
        <v>855</v>
      </c>
      <c r="G14" s="40">
        <f>G13-G15</f>
        <v>20320.349320587586</v>
      </c>
      <c r="H14" s="40">
        <f>H13-H15</f>
        <v>20546.199334335644</v>
      </c>
      <c r="I14" s="251"/>
      <c r="J14" s="168"/>
    </row>
    <row r="15" spans="1:10" s="147" customFormat="1" ht="12.75" x14ac:dyDescent="0.2">
      <c r="A15" s="37" t="s">
        <v>26</v>
      </c>
      <c r="B15" s="139">
        <f>B13-B14</f>
        <v>6972</v>
      </c>
      <c r="C15" s="139">
        <f>C13-C14</f>
        <v>9209</v>
      </c>
      <c r="D15" s="40">
        <f>C15-B15</f>
        <v>2237</v>
      </c>
      <c r="E15" s="139">
        <f>E13-E14</f>
        <v>10077</v>
      </c>
      <c r="F15" s="70">
        <f>E15-C15</f>
        <v>868</v>
      </c>
      <c r="G15" s="40">
        <f>G16*G13</f>
        <v>10290.374395877236</v>
      </c>
      <c r="H15" s="40">
        <f>H16*H13</f>
        <v>10404.746504452502</v>
      </c>
      <c r="I15" s="251"/>
      <c r="J15" s="168"/>
    </row>
    <row r="16" spans="1:10" s="147" customFormat="1" ht="12.75" x14ac:dyDescent="0.2">
      <c r="A16" s="37" t="s">
        <v>27</v>
      </c>
      <c r="B16" s="43">
        <f>B15/B13</f>
        <v>0.29307663205683299</v>
      </c>
      <c r="C16" s="43">
        <f>C15/C13</f>
        <v>0.32594768697129506</v>
      </c>
      <c r="D16" s="37"/>
      <c r="E16" s="203">
        <f>E15/E13</f>
        <v>0.33616893514811852</v>
      </c>
      <c r="F16" s="202" t="s">
        <v>45</v>
      </c>
      <c r="G16" s="203">
        <f>E16</f>
        <v>0.33616893514811852</v>
      </c>
      <c r="H16" s="204">
        <f>G16</f>
        <v>0.33616893514811852</v>
      </c>
      <c r="I16" s="251"/>
      <c r="J16" s="168"/>
    </row>
    <row r="17" spans="1:11" s="147" customFormat="1" ht="12.75" x14ac:dyDescent="0.2">
      <c r="A17" s="37"/>
      <c r="B17" s="41"/>
      <c r="C17" s="41"/>
      <c r="D17" s="41"/>
      <c r="E17" s="141"/>
      <c r="F17" s="37"/>
      <c r="G17" s="37"/>
      <c r="H17" s="37"/>
      <c r="I17" s="251"/>
      <c r="J17" s="168"/>
    </row>
    <row r="18" spans="1:11" s="147" customFormat="1" ht="12.75" x14ac:dyDescent="0.2">
      <c r="A18" s="37" t="s">
        <v>31</v>
      </c>
      <c r="B18" s="41">
        <f>B2/B55</f>
        <v>0.93423217792876478</v>
      </c>
      <c r="C18" s="41">
        <f>C2/C55</f>
        <v>1.0048087626341333</v>
      </c>
      <c r="D18" s="41"/>
      <c r="E18" s="41">
        <f>E2/E55</f>
        <v>0.83634821933295644</v>
      </c>
      <c r="F18" s="37"/>
      <c r="G18" s="41"/>
      <c r="H18" s="41"/>
      <c r="I18" s="251"/>
    </row>
    <row r="19" spans="1:11" s="147" customFormat="1" ht="12.75" x14ac:dyDescent="0.2">
      <c r="A19" s="37"/>
      <c r="B19" s="40"/>
      <c r="C19" s="40"/>
      <c r="D19" s="37"/>
      <c r="E19" s="37"/>
      <c r="F19" s="37"/>
      <c r="G19" s="37"/>
      <c r="H19" s="37"/>
      <c r="I19" s="251"/>
    </row>
    <row r="20" spans="1:11" s="147" customFormat="1" ht="12.75" x14ac:dyDescent="0.2">
      <c r="A20" s="37" t="s">
        <v>128</v>
      </c>
      <c r="B20" s="41">
        <f>B24/B8</f>
        <v>1.5955896164393855</v>
      </c>
      <c r="C20" s="41">
        <f>C24/C8</f>
        <v>1.5312139838647714</v>
      </c>
      <c r="D20" s="37"/>
      <c r="E20" s="41">
        <f>E24/E8</f>
        <v>1.5654255319148935</v>
      </c>
      <c r="F20" s="140"/>
      <c r="G20" s="205">
        <f>+E20</f>
        <v>1.5654255319148935</v>
      </c>
      <c r="H20" s="41">
        <f>H24/H8</f>
        <v>1.3927913065922644</v>
      </c>
      <c r="I20" s="251"/>
      <c r="J20" s="167" t="s">
        <v>278</v>
      </c>
    </row>
    <row r="21" spans="1:11" s="147" customFormat="1" ht="12.75" x14ac:dyDescent="0.2">
      <c r="A21" s="37" t="s">
        <v>94</v>
      </c>
      <c r="B21" s="41">
        <f>B29/B8</f>
        <v>0.55080957211014692</v>
      </c>
      <c r="C21" s="41">
        <f>C29/C8</f>
        <v>0.55381610961710848</v>
      </c>
      <c r="D21" s="37"/>
      <c r="E21" s="205">
        <f>E29/E8</f>
        <v>0.58116395494367956</v>
      </c>
      <c r="F21" s="202" t="s">
        <v>45</v>
      </c>
      <c r="G21" s="205">
        <f>AVERAGE(B21:E21)</f>
        <v>0.56192987889031165</v>
      </c>
      <c r="H21" s="206">
        <f>G21</f>
        <v>0.56192987889031165</v>
      </c>
      <c r="I21" s="252"/>
      <c r="J21" s="147" t="s">
        <v>225</v>
      </c>
    </row>
    <row r="22" spans="1:11" s="147" customFormat="1" ht="12.75" x14ac:dyDescent="0.2">
      <c r="A22" s="37"/>
      <c r="B22" s="37"/>
      <c r="C22" s="37"/>
      <c r="D22" s="37"/>
      <c r="E22" s="37"/>
      <c r="F22" s="37"/>
      <c r="G22" s="37"/>
      <c r="H22" s="37"/>
      <c r="I22" s="161"/>
    </row>
    <row r="23" spans="1:11" s="147" customFormat="1" ht="12.75" x14ac:dyDescent="0.2">
      <c r="A23" s="64" t="s">
        <v>98</v>
      </c>
      <c r="B23" s="41"/>
      <c r="C23" s="41"/>
      <c r="D23" s="37"/>
      <c r="E23" s="37"/>
      <c r="F23" s="37"/>
      <c r="G23" s="37"/>
      <c r="H23" s="37"/>
      <c r="I23" s="159"/>
    </row>
    <row r="24" spans="1:11" s="147" customFormat="1" ht="12.75" x14ac:dyDescent="0.2">
      <c r="A24" s="37" t="s">
        <v>99</v>
      </c>
      <c r="B24" s="40">
        <v>42473</v>
      </c>
      <c r="C24" s="40">
        <v>47829</v>
      </c>
      <c r="D24" s="40">
        <f>C24-B24</f>
        <v>5356</v>
      </c>
      <c r="E24" s="217">
        <f>49755+276</f>
        <v>50031</v>
      </c>
      <c r="F24" s="70">
        <f>E24-C24</f>
        <v>2202</v>
      </c>
      <c r="G24" s="40">
        <f>+G20*G8</f>
        <v>51090.37624294273</v>
      </c>
      <c r="H24" s="40">
        <f>H25+H26</f>
        <v>45961.380341289892</v>
      </c>
      <c r="I24" s="217">
        <f>47829+263</f>
        <v>48092</v>
      </c>
      <c r="J24" s="147" t="s">
        <v>158</v>
      </c>
    </row>
    <row r="25" spans="1:11" s="147" customFormat="1" ht="12.75" x14ac:dyDescent="0.2">
      <c r="A25" s="37" t="s">
        <v>97</v>
      </c>
      <c r="B25" s="40">
        <v>205</v>
      </c>
      <c r="C25" s="40">
        <v>593</v>
      </c>
      <c r="D25" s="40">
        <f>C25-B25</f>
        <v>388</v>
      </c>
      <c r="E25" s="217">
        <v>276</v>
      </c>
      <c r="F25" s="70">
        <f>E25-C25</f>
        <v>-317</v>
      </c>
      <c r="G25" s="207">
        <f>I25</f>
        <v>263</v>
      </c>
      <c r="H25" s="207">
        <f>I25</f>
        <v>263</v>
      </c>
      <c r="I25" s="217">
        <v>263</v>
      </c>
      <c r="J25" s="147" t="s">
        <v>234</v>
      </c>
    </row>
    <row r="26" spans="1:11" s="147" customFormat="1" ht="12.75" x14ac:dyDescent="0.2">
      <c r="A26" s="37" t="s">
        <v>95</v>
      </c>
      <c r="B26" s="40">
        <f>B24-B25</f>
        <v>42268</v>
      </c>
      <c r="C26" s="40">
        <f>C24-C25</f>
        <v>47236</v>
      </c>
      <c r="D26" s="40">
        <f>C26-B26</f>
        <v>4968</v>
      </c>
      <c r="E26" s="40">
        <f>E24-E25</f>
        <v>49755</v>
      </c>
      <c r="F26" s="70">
        <f>E26-C26</f>
        <v>2519</v>
      </c>
      <c r="G26" s="40">
        <f>G24-G25</f>
        <v>50827.37624294273</v>
      </c>
      <c r="H26" s="154">
        <f>H29*H27</f>
        <v>45698.380341289892</v>
      </c>
      <c r="I26" s="154">
        <f>I24-I25</f>
        <v>47829</v>
      </c>
      <c r="J26" s="170" t="s">
        <v>159</v>
      </c>
    </row>
    <row r="27" spans="1:11" s="147" customFormat="1" ht="12.75" x14ac:dyDescent="0.2">
      <c r="A27" s="37" t="s">
        <v>111</v>
      </c>
      <c r="B27" s="142">
        <f>B26/B29</f>
        <v>2.882826353839858</v>
      </c>
      <c r="C27" s="142">
        <f>C26/C29</f>
        <v>2.7305624602578185</v>
      </c>
      <c r="D27" s="41"/>
      <c r="E27" s="142">
        <f>E26/E29</f>
        <v>2.6787444815333261</v>
      </c>
      <c r="F27" s="37"/>
      <c r="G27" s="142">
        <f>G26/G29</f>
        <v>2.7714616822790883</v>
      </c>
      <c r="H27" s="208">
        <f>I27</f>
        <v>2.52</v>
      </c>
      <c r="I27" s="208">
        <v>2.52</v>
      </c>
      <c r="J27" s="147" t="s">
        <v>118</v>
      </c>
    </row>
    <row r="28" spans="1:11" s="147" customFormat="1" ht="12.75" x14ac:dyDescent="0.2">
      <c r="A28" s="37"/>
      <c r="B28" s="40"/>
      <c r="C28" s="40"/>
      <c r="D28" s="37"/>
      <c r="E28" s="37"/>
      <c r="F28" s="37"/>
      <c r="G28" s="159"/>
      <c r="H28" s="159"/>
      <c r="I28" s="159"/>
    </row>
    <row r="29" spans="1:11" s="147" customFormat="1" ht="12.75" x14ac:dyDescent="0.2">
      <c r="A29" s="37" t="s">
        <v>100</v>
      </c>
      <c r="B29" s="40">
        <f>B55-B41</f>
        <v>14662</v>
      </c>
      <c r="C29" s="40">
        <f>C55-C41</f>
        <v>17299</v>
      </c>
      <c r="D29" s="40">
        <f>C29-B29</f>
        <v>2637</v>
      </c>
      <c r="E29" s="217">
        <v>18574</v>
      </c>
      <c r="F29" s="70">
        <f>E29-C29</f>
        <v>1275</v>
      </c>
      <c r="G29" s="154">
        <f>G8*G21</f>
        <v>18339.555826420543</v>
      </c>
      <c r="H29" s="223">
        <f>+AVERAGE(G29,I29)</f>
        <v>18134.277913210273</v>
      </c>
      <c r="I29" s="217">
        <v>17929</v>
      </c>
      <c r="J29" s="37" t="s">
        <v>125</v>
      </c>
      <c r="K29" s="37"/>
    </row>
    <row r="30" spans="1:11" s="147" customFormat="1" ht="12.75" x14ac:dyDescent="0.2">
      <c r="A30" s="37" t="s">
        <v>101</v>
      </c>
      <c r="B30" s="40">
        <f>B56-B45</f>
        <v>10259</v>
      </c>
      <c r="C30" s="40">
        <f>C56-C45</f>
        <v>12475</v>
      </c>
      <c r="D30" s="40">
        <f>C30-B30</f>
        <v>2216</v>
      </c>
      <c r="E30" s="217">
        <v>13526</v>
      </c>
      <c r="F30" s="70">
        <f>E30-C30</f>
        <v>1051</v>
      </c>
      <c r="G30" s="154">
        <f>G29*G32</f>
        <v>13408.159840075881</v>
      </c>
      <c r="H30" s="154">
        <f>H29*H32</f>
        <v>13258.079920037942</v>
      </c>
      <c r="I30" s="217">
        <v>13108</v>
      </c>
      <c r="J30" s="147" t="s">
        <v>120</v>
      </c>
    </row>
    <row r="31" spans="1:11" s="147" customFormat="1" ht="12.75" x14ac:dyDescent="0.2">
      <c r="A31" s="37" t="s">
        <v>102</v>
      </c>
      <c r="B31" s="40">
        <f>B57-B46</f>
        <v>4403</v>
      </c>
      <c r="C31" s="40">
        <f>C57-C46</f>
        <v>4824</v>
      </c>
      <c r="D31" s="40">
        <f>C31-B31</f>
        <v>421</v>
      </c>
      <c r="E31" s="217">
        <v>5048</v>
      </c>
      <c r="F31" s="70">
        <f>E31-C31</f>
        <v>224</v>
      </c>
      <c r="G31" s="154">
        <f>G29-G30</f>
        <v>4931.3959863446617</v>
      </c>
      <c r="H31" s="154">
        <f>H29-H30</f>
        <v>4876.1979931723308</v>
      </c>
      <c r="I31" s="217">
        <v>4821</v>
      </c>
      <c r="J31" s="147" t="s">
        <v>120</v>
      </c>
    </row>
    <row r="32" spans="1:11" s="147" customFormat="1" ht="12.75" x14ac:dyDescent="0.2">
      <c r="A32" s="37" t="s">
        <v>103</v>
      </c>
      <c r="B32" s="43">
        <f>B30/B29</f>
        <v>0.69969990451507302</v>
      </c>
      <c r="C32" s="43">
        <f>C30/C29</f>
        <v>0.72113995028614375</v>
      </c>
      <c r="D32" s="42"/>
      <c r="E32" s="43">
        <f>E30/E29</f>
        <v>0.72822224615053299</v>
      </c>
      <c r="F32" s="37"/>
      <c r="G32" s="203">
        <f>H32</f>
        <v>0.73110602933794411</v>
      </c>
      <c r="H32" s="203">
        <f>I32</f>
        <v>0.73110602933794411</v>
      </c>
      <c r="I32" s="203">
        <f>I30/I29</f>
        <v>0.73110602933794411</v>
      </c>
      <c r="J32" s="147" t="s">
        <v>235</v>
      </c>
    </row>
    <row r="33" spans="1:10" s="147" customFormat="1" ht="12.75" x14ac:dyDescent="0.2">
      <c r="A33" s="37" t="s">
        <v>104</v>
      </c>
      <c r="B33" s="43">
        <f>B31/B29</f>
        <v>0.30030009548492703</v>
      </c>
      <c r="C33" s="43">
        <f>C31/C29</f>
        <v>0.27886004971385631</v>
      </c>
      <c r="D33" s="42"/>
      <c r="E33" s="43">
        <f>E31/E29</f>
        <v>0.27177775384946701</v>
      </c>
      <c r="F33" s="37"/>
      <c r="G33" s="203">
        <f>1-G32</f>
        <v>0.26889397066205589</v>
      </c>
      <c r="H33" s="203">
        <f>1-H32</f>
        <v>0.26889397066205589</v>
      </c>
      <c r="I33" s="203">
        <f>I31/I29</f>
        <v>0.26889397066205589</v>
      </c>
    </row>
    <row r="34" spans="1:10" s="147" customFormat="1" ht="12.75" x14ac:dyDescent="0.2">
      <c r="A34" s="37"/>
      <c r="B34" s="40"/>
      <c r="C34" s="40"/>
      <c r="D34" s="37"/>
      <c r="E34" s="37"/>
      <c r="F34" s="37"/>
      <c r="G34" s="159"/>
      <c r="H34" s="159"/>
      <c r="I34" s="159"/>
    </row>
    <row r="35" spans="1:10" s="147" customFormat="1" ht="12.75" x14ac:dyDescent="0.2">
      <c r="A35" s="64" t="s">
        <v>171</v>
      </c>
      <c r="B35" s="43"/>
      <c r="C35" s="43"/>
      <c r="D35" s="37"/>
      <c r="E35" s="37"/>
      <c r="F35" s="37"/>
      <c r="G35" s="154"/>
      <c r="H35" s="154"/>
      <c r="I35" s="154"/>
    </row>
    <row r="36" spans="1:10" s="147" customFormat="1" ht="12.75" x14ac:dyDescent="0.2">
      <c r="A36" s="37" t="s">
        <v>105</v>
      </c>
      <c r="B36" s="40">
        <v>6743</v>
      </c>
      <c r="C36" s="40">
        <v>8496</v>
      </c>
      <c r="D36" s="40">
        <f>C36-B36</f>
        <v>1753</v>
      </c>
      <c r="E36" s="217">
        <f>9475+582</f>
        <v>10057</v>
      </c>
      <c r="F36" s="70">
        <f>E36-C36</f>
        <v>1561</v>
      </c>
      <c r="G36" s="210">
        <f>I36</f>
        <v>14586</v>
      </c>
      <c r="H36" s="210">
        <f>I36</f>
        <v>14586</v>
      </c>
      <c r="I36" s="217">
        <f>13906+680</f>
        <v>14586</v>
      </c>
      <c r="J36" s="147" t="s">
        <v>236</v>
      </c>
    </row>
    <row r="37" spans="1:10" s="147" customFormat="1" ht="12.75" x14ac:dyDescent="0.2">
      <c r="A37" s="37" t="s">
        <v>106</v>
      </c>
      <c r="B37" s="43">
        <f>B36/B50</f>
        <v>0.1370082899869961</v>
      </c>
      <c r="C37" s="43">
        <f>C36/C50</f>
        <v>0.15083888149134486</v>
      </c>
      <c r="D37" s="43"/>
      <c r="E37" s="43">
        <f>E36/E50</f>
        <v>0.16737118892291306</v>
      </c>
      <c r="F37" s="43"/>
      <c r="G37" s="195">
        <f>G36/G50</f>
        <v>0.2220889889850971</v>
      </c>
      <c r="H37" s="195">
        <f>H36/H50</f>
        <v>0.24090224742643693</v>
      </c>
      <c r="I37" s="195">
        <f>I36/I50</f>
        <v>0.23271323271323271</v>
      </c>
      <c r="J37" s="147" t="s">
        <v>172</v>
      </c>
    </row>
    <row r="38" spans="1:10" s="147" customFormat="1" ht="12.75" x14ac:dyDescent="0.2">
      <c r="A38" s="37" t="s">
        <v>107</v>
      </c>
      <c r="B38" s="70">
        <v>476</v>
      </c>
      <c r="C38" s="70">
        <v>620</v>
      </c>
      <c r="D38" s="40">
        <f>C38-B38</f>
        <v>144</v>
      </c>
      <c r="E38" s="217">
        <v>582</v>
      </c>
      <c r="F38" s="70">
        <f>E38-C38</f>
        <v>-38</v>
      </c>
      <c r="G38" s="154">
        <f>H38</f>
        <v>680</v>
      </c>
      <c r="H38" s="154">
        <f>I38</f>
        <v>680</v>
      </c>
      <c r="I38" s="217">
        <v>680</v>
      </c>
      <c r="J38" s="147" t="s">
        <v>237</v>
      </c>
    </row>
    <row r="39" spans="1:10" s="147" customFormat="1" ht="12.75" x14ac:dyDescent="0.2">
      <c r="A39" s="37" t="s">
        <v>108</v>
      </c>
      <c r="B39" s="40">
        <f>B36-B38</f>
        <v>6267</v>
      </c>
      <c r="C39" s="40">
        <f>C36-C38</f>
        <v>7876</v>
      </c>
      <c r="D39" s="40">
        <f>C39-B39</f>
        <v>1609</v>
      </c>
      <c r="E39" s="40">
        <f>E36-E38</f>
        <v>9475</v>
      </c>
      <c r="F39" s="70">
        <f>E39-C39</f>
        <v>1599</v>
      </c>
      <c r="G39" s="154">
        <f>H39</f>
        <v>13906</v>
      </c>
      <c r="H39" s="154">
        <f>I39</f>
        <v>13906</v>
      </c>
      <c r="I39" s="40">
        <f>I36-I38</f>
        <v>13906</v>
      </c>
      <c r="J39" s="147" t="s">
        <v>160</v>
      </c>
    </row>
    <row r="40" spans="1:10" s="147" customFormat="1" ht="12.75" x14ac:dyDescent="0.2">
      <c r="A40" s="37"/>
      <c r="B40" s="40"/>
      <c r="C40" s="40"/>
      <c r="D40" s="40"/>
      <c r="E40" s="40"/>
      <c r="F40" s="70"/>
      <c r="G40" s="154"/>
      <c r="H40" s="154"/>
      <c r="I40" s="154"/>
    </row>
    <row r="41" spans="1:10" s="147" customFormat="1" ht="12.75" x14ac:dyDescent="0.2">
      <c r="A41" s="37" t="s">
        <v>109</v>
      </c>
      <c r="B41" s="40">
        <f>B45+B46</f>
        <v>4177</v>
      </c>
      <c r="C41" s="40">
        <f>C45+C46</f>
        <v>5160</v>
      </c>
      <c r="D41" s="40">
        <f>C41-B41</f>
        <v>983</v>
      </c>
      <c r="E41" s="217">
        <v>6192</v>
      </c>
      <c r="F41" s="70">
        <f>E41-C41</f>
        <v>1032</v>
      </c>
      <c r="G41" s="207">
        <f>I41</f>
        <v>9001</v>
      </c>
      <c r="H41" s="207">
        <f>I41</f>
        <v>9001</v>
      </c>
      <c r="I41" s="217">
        <v>9001</v>
      </c>
      <c r="J41" s="147" t="s">
        <v>161</v>
      </c>
    </row>
    <row r="42" spans="1:10" s="147" customFormat="1" ht="12.75" x14ac:dyDescent="0.2">
      <c r="A42" s="37" t="s">
        <v>110</v>
      </c>
      <c r="B42" s="43">
        <f>B41/B55</f>
        <v>0.22172089813684379</v>
      </c>
      <c r="C42" s="43">
        <f>C41/C55</f>
        <v>0.22975199251970257</v>
      </c>
      <c r="D42" s="42"/>
      <c r="E42" s="43">
        <f>E41/E55</f>
        <v>0.2500201889687475</v>
      </c>
      <c r="F42" s="37"/>
      <c r="G42" s="43">
        <f>G41/G55</f>
        <v>0.32921788632043408</v>
      </c>
      <c r="H42" s="43">
        <f>H41/H55</f>
        <v>0.33170841399851819</v>
      </c>
      <c r="I42" s="195">
        <f>I41/I55</f>
        <v>0.33423691050872634</v>
      </c>
      <c r="J42" s="147" t="s">
        <v>172</v>
      </c>
    </row>
    <row r="43" spans="1:10" s="147" customFormat="1" ht="12.75" x14ac:dyDescent="0.2">
      <c r="A43" s="37" t="s">
        <v>112</v>
      </c>
      <c r="B43" s="142">
        <f>B39/B41</f>
        <v>1.5003591094086666</v>
      </c>
      <c r="C43" s="142">
        <f>C39/C41</f>
        <v>1.5263565891472868</v>
      </c>
      <c r="D43" s="37"/>
      <c r="E43" s="142">
        <f>E39/E41</f>
        <v>1.5302002583979328</v>
      </c>
      <c r="F43" s="37"/>
      <c r="G43" s="209">
        <f>H43</f>
        <v>1.57</v>
      </c>
      <c r="H43" s="209">
        <f>I43</f>
        <v>1.57</v>
      </c>
      <c r="I43" s="209">
        <v>1.57</v>
      </c>
      <c r="J43" s="147" t="s">
        <v>161</v>
      </c>
    </row>
    <row r="44" spans="1:10" s="147" customFormat="1" ht="12.75" x14ac:dyDescent="0.2">
      <c r="A44" s="37"/>
      <c r="B44" s="142"/>
      <c r="C44" s="142"/>
      <c r="D44" s="42"/>
      <c r="E44" s="42"/>
      <c r="F44" s="37"/>
      <c r="G44" s="37"/>
      <c r="H44" s="37"/>
      <c r="I44" s="37"/>
    </row>
    <row r="45" spans="1:10" s="147" customFormat="1" ht="12.75" x14ac:dyDescent="0.2">
      <c r="A45" s="37" t="s">
        <v>113</v>
      </c>
      <c r="B45" s="40">
        <f>2010+1206</f>
        <v>3216</v>
      </c>
      <c r="C45" s="40">
        <f>2361+1466+332</f>
        <v>4159</v>
      </c>
      <c r="D45" s="40">
        <f>C45-B45</f>
        <v>943</v>
      </c>
      <c r="E45" s="217">
        <v>4997</v>
      </c>
      <c r="F45" s="70">
        <f>E45-C45</f>
        <v>838</v>
      </c>
      <c r="G45" s="207">
        <f>G47*G41</f>
        <v>7339</v>
      </c>
      <c r="H45" s="207">
        <f>H47*H41</f>
        <v>7339</v>
      </c>
      <c r="I45" s="217">
        <v>7339</v>
      </c>
    </row>
    <row r="46" spans="1:10" s="147" customFormat="1" ht="12.75" x14ac:dyDescent="0.2">
      <c r="A46" s="37" t="s">
        <v>114</v>
      </c>
      <c r="B46" s="40">
        <f>479+482</f>
        <v>961</v>
      </c>
      <c r="C46" s="40">
        <f>395+446+160</f>
        <v>1001</v>
      </c>
      <c r="D46" s="40">
        <f>C46-B46</f>
        <v>40</v>
      </c>
      <c r="E46" s="217">
        <v>1195</v>
      </c>
      <c r="F46" s="70">
        <f>E46-C46</f>
        <v>194</v>
      </c>
      <c r="G46" s="40">
        <f>G41-G45</f>
        <v>1662</v>
      </c>
      <c r="H46" s="40">
        <f>H41-H45</f>
        <v>1662</v>
      </c>
      <c r="I46" s="217">
        <v>1662</v>
      </c>
    </row>
    <row r="47" spans="1:10" s="147" customFormat="1" ht="12.75" x14ac:dyDescent="0.2">
      <c r="A47" s="37" t="s">
        <v>115</v>
      </c>
      <c r="B47" s="43">
        <f>B45/B41</f>
        <v>0.76993057218099115</v>
      </c>
      <c r="C47" s="43">
        <f>C45/C41</f>
        <v>0.80600775193798446</v>
      </c>
      <c r="D47" s="37"/>
      <c r="E47" s="43">
        <f>E45/E41</f>
        <v>0.80700904392764861</v>
      </c>
      <c r="F47" s="37"/>
      <c r="G47" s="211">
        <f>I47</f>
        <v>0.81535384957226975</v>
      </c>
      <c r="H47" s="211">
        <f>I47</f>
        <v>0.81535384957226975</v>
      </c>
      <c r="I47" s="211">
        <f>I45/I41</f>
        <v>0.81535384957226975</v>
      </c>
      <c r="J47" s="147" t="s">
        <v>238</v>
      </c>
    </row>
    <row r="48" spans="1:10" s="147" customFormat="1" ht="12.75" x14ac:dyDescent="0.2">
      <c r="A48" s="37" t="s">
        <v>116</v>
      </c>
      <c r="B48" s="43">
        <f>B46/B41</f>
        <v>0.23006942781900885</v>
      </c>
      <c r="C48" s="43">
        <f>C46/C41</f>
        <v>0.19399224806201551</v>
      </c>
      <c r="D48" s="37"/>
      <c r="E48" s="43">
        <f>E46/E41</f>
        <v>0.19299095607235142</v>
      </c>
      <c r="F48" s="37"/>
      <c r="G48" s="211">
        <f>1-G47</f>
        <v>0.18464615042773025</v>
      </c>
      <c r="H48" s="211">
        <f>1-H47</f>
        <v>0.18464615042773025</v>
      </c>
      <c r="I48" s="211">
        <f>I46/I41</f>
        <v>0.18464615042773025</v>
      </c>
    </row>
    <row r="49" spans="1:10" s="147" customFormat="1" ht="12.75" x14ac:dyDescent="0.2">
      <c r="A49" s="37"/>
      <c r="B49" s="43"/>
      <c r="C49" s="43"/>
      <c r="D49" s="37"/>
      <c r="E49" s="37"/>
      <c r="F49" s="37"/>
      <c r="G49" s="37"/>
      <c r="H49" s="37"/>
      <c r="I49" s="37"/>
    </row>
    <row r="50" spans="1:10" s="147" customFormat="1" ht="12.75" x14ac:dyDescent="0.2">
      <c r="A50" s="64" t="s">
        <v>129</v>
      </c>
      <c r="B50" s="40">
        <f>B24+B36</f>
        <v>49216</v>
      </c>
      <c r="C50" s="40">
        <f>C24+C36</f>
        <v>56325</v>
      </c>
      <c r="D50" s="40">
        <f>C50-B50</f>
        <v>7109</v>
      </c>
      <c r="E50" s="40">
        <f>E24+E36</f>
        <v>60088</v>
      </c>
      <c r="F50" s="70">
        <f>E50-C50</f>
        <v>3763</v>
      </c>
      <c r="G50" s="40">
        <f>G24+G36</f>
        <v>65676.37624294273</v>
      </c>
      <c r="H50" s="40">
        <f>H24+H36</f>
        <v>60547.380341289892</v>
      </c>
      <c r="I50" s="40">
        <f>I24+I36</f>
        <v>62678</v>
      </c>
      <c r="J50" s="147" t="s">
        <v>162</v>
      </c>
    </row>
    <row r="51" spans="1:10" s="147" customFormat="1" ht="12.75" x14ac:dyDescent="0.2">
      <c r="A51" s="37" t="s">
        <v>96</v>
      </c>
      <c r="B51" s="40">
        <f>B25+B38</f>
        <v>681</v>
      </c>
      <c r="C51" s="40">
        <f>C25+C38</f>
        <v>1213</v>
      </c>
      <c r="D51" s="40">
        <f>C51-B51</f>
        <v>532</v>
      </c>
      <c r="E51" s="40">
        <f>E25+E38</f>
        <v>858</v>
      </c>
      <c r="F51" s="70">
        <f>E51-C51</f>
        <v>-355</v>
      </c>
      <c r="G51" s="212">
        <f>G25+G38</f>
        <v>943</v>
      </c>
      <c r="H51" s="212">
        <f>H25+H38</f>
        <v>943</v>
      </c>
      <c r="I51" s="212">
        <f>I25+I38</f>
        <v>943</v>
      </c>
      <c r="J51" s="147" t="s">
        <v>163</v>
      </c>
    </row>
    <row r="52" spans="1:10" s="147" customFormat="1" ht="12.75" x14ac:dyDescent="0.2">
      <c r="A52" s="37" t="s">
        <v>95</v>
      </c>
      <c r="B52" s="40">
        <f>B50-B51</f>
        <v>48535</v>
      </c>
      <c r="C52" s="40">
        <f>C50-C51</f>
        <v>55112</v>
      </c>
      <c r="D52" s="40">
        <f>C52-B52</f>
        <v>6577</v>
      </c>
      <c r="E52" s="40">
        <f>E50-E51</f>
        <v>59230</v>
      </c>
      <c r="F52" s="70">
        <f>E52-C52</f>
        <v>4118</v>
      </c>
      <c r="G52" s="40">
        <f>G50-G51</f>
        <v>64733.37624294273</v>
      </c>
      <c r="H52" s="40">
        <f>H50-H51</f>
        <v>59604.380341289892</v>
      </c>
      <c r="I52" s="40">
        <f>I50-I51</f>
        <v>61735</v>
      </c>
      <c r="J52" s="147" t="s">
        <v>164</v>
      </c>
    </row>
    <row r="53" spans="1:10" s="147" customFormat="1" ht="12.75" x14ac:dyDescent="0.2">
      <c r="A53" s="37" t="s">
        <v>126</v>
      </c>
      <c r="B53" s="142">
        <f>B52/B55</f>
        <v>2.576304474759807</v>
      </c>
      <c r="C53" s="142">
        <f>C52/C55</f>
        <v>2.4538937619662495</v>
      </c>
      <c r="D53" s="37"/>
      <c r="E53" s="142">
        <f>E52/E55</f>
        <v>2.3915852378260518</v>
      </c>
      <c r="F53" s="37"/>
      <c r="G53" s="142">
        <f>G52/G55</f>
        <v>2.3676686258290198</v>
      </c>
      <c r="H53" s="142">
        <f>H52/H55</f>
        <v>2.1965642117957702</v>
      </c>
      <c r="I53" s="142">
        <f>I52/I55</f>
        <v>2.2924248050501301</v>
      </c>
      <c r="J53" s="147" t="s">
        <v>165</v>
      </c>
    </row>
    <row r="54" spans="1:10" s="147" customFormat="1" ht="12.75" x14ac:dyDescent="0.2">
      <c r="A54" s="37"/>
      <c r="B54" s="43"/>
      <c r="C54" s="43"/>
      <c r="D54" s="37"/>
      <c r="E54" s="37"/>
      <c r="F54" s="37"/>
      <c r="G54" s="37"/>
      <c r="H54" s="37"/>
      <c r="I54" s="37"/>
    </row>
    <row r="55" spans="1:10" s="147" customFormat="1" ht="12.75" x14ac:dyDescent="0.2">
      <c r="A55" s="64" t="s">
        <v>127</v>
      </c>
      <c r="B55" s="40">
        <v>18839</v>
      </c>
      <c r="C55" s="40">
        <v>22459</v>
      </c>
      <c r="D55" s="40">
        <f>C55-B55</f>
        <v>3620</v>
      </c>
      <c r="E55" s="40">
        <f>E29+E41</f>
        <v>24766</v>
      </c>
      <c r="F55" s="70">
        <f>E55-C55</f>
        <v>2307</v>
      </c>
      <c r="G55" s="40">
        <f>G29+G41</f>
        <v>27340.555826420543</v>
      </c>
      <c r="H55" s="40">
        <f>H29+H41</f>
        <v>27135.277913210273</v>
      </c>
      <c r="I55" s="40">
        <f>I29+I41</f>
        <v>26930</v>
      </c>
      <c r="J55" s="147" t="s">
        <v>121</v>
      </c>
    </row>
    <row r="56" spans="1:10" s="147" customFormat="1" ht="12.75" x14ac:dyDescent="0.2">
      <c r="A56" s="37" t="s">
        <v>101</v>
      </c>
      <c r="B56" s="40">
        <v>13475</v>
      </c>
      <c r="C56" s="40">
        <v>16634</v>
      </c>
      <c r="D56" s="40">
        <f>C56-B56</f>
        <v>3159</v>
      </c>
      <c r="E56" s="40">
        <f>E30+E45</f>
        <v>18523</v>
      </c>
      <c r="F56" s="70">
        <f>E56-C56</f>
        <v>1889</v>
      </c>
      <c r="G56" s="40">
        <f>G30+G45</f>
        <v>20747.159840075881</v>
      </c>
      <c r="H56" s="40">
        <f>H30+H45</f>
        <v>20597.079920037941</v>
      </c>
      <c r="I56" s="40">
        <f>I30+I45</f>
        <v>20447</v>
      </c>
      <c r="J56" s="147" t="s">
        <v>121</v>
      </c>
    </row>
    <row r="57" spans="1:10" s="147" customFormat="1" ht="12.75" x14ac:dyDescent="0.2">
      <c r="A57" s="37" t="s">
        <v>102</v>
      </c>
      <c r="B57" s="40">
        <v>5364</v>
      </c>
      <c r="C57" s="40">
        <v>5825</v>
      </c>
      <c r="D57" s="40">
        <f>C57-B57</f>
        <v>461</v>
      </c>
      <c r="E57" s="40">
        <f>E31+E46</f>
        <v>6243</v>
      </c>
      <c r="F57" s="70">
        <f>E57-C57</f>
        <v>418</v>
      </c>
      <c r="G57" s="40">
        <f>G31+G46</f>
        <v>6593.3959863446617</v>
      </c>
      <c r="H57" s="40">
        <f>H31+H46</f>
        <v>6538.1979931723308</v>
      </c>
      <c r="I57" s="40">
        <f>I55-I56</f>
        <v>6483</v>
      </c>
      <c r="J57" s="147" t="s">
        <v>121</v>
      </c>
    </row>
    <row r="58" spans="1:10" s="147" customFormat="1" ht="12.75" x14ac:dyDescent="0.2">
      <c r="A58" s="37" t="s">
        <v>103</v>
      </c>
      <c r="B58" s="43">
        <f>B56/B55</f>
        <v>0.71527151122671051</v>
      </c>
      <c r="C58" s="43">
        <f>C56/C55</f>
        <v>0.74063849681642102</v>
      </c>
      <c r="D58" s="37"/>
      <c r="E58" s="43">
        <f>E56/E55</f>
        <v>0.74792053621900989</v>
      </c>
      <c r="F58" s="37"/>
      <c r="G58" s="43">
        <f>G56/G55</f>
        <v>0.75884191864259265</v>
      </c>
      <c r="H58" s="43">
        <f>H56/H55</f>
        <v>0.75905174017070454</v>
      </c>
      <c r="I58" s="43">
        <f>I56/I55</f>
        <v>0.75926476049015967</v>
      </c>
      <c r="J58" s="147" t="s">
        <v>122</v>
      </c>
    </row>
    <row r="59" spans="1:10" s="147" customFormat="1" ht="12.75" x14ac:dyDescent="0.2">
      <c r="A59" s="37" t="s">
        <v>104</v>
      </c>
      <c r="B59" s="43">
        <f>B57/B55</f>
        <v>0.28472848877328943</v>
      </c>
      <c r="C59" s="43">
        <f>C57/C55</f>
        <v>0.25936150318357898</v>
      </c>
      <c r="D59" s="37"/>
      <c r="E59" s="43">
        <f>E57/E55</f>
        <v>0.25207946378099005</v>
      </c>
      <c r="F59" s="37"/>
      <c r="G59" s="43">
        <f>1-G58</f>
        <v>0.24115808135740735</v>
      </c>
      <c r="H59" s="43">
        <f>1-H58</f>
        <v>0.24094825982929546</v>
      </c>
      <c r="I59" s="43">
        <f>1-I58</f>
        <v>0.24073523950984033</v>
      </c>
    </row>
    <row r="60" spans="1:10" s="147" customFormat="1" ht="15.75" x14ac:dyDescent="0.2">
      <c r="A60" s="213"/>
      <c r="B60" s="213"/>
      <c r="C60" s="213"/>
      <c r="D60" s="214"/>
      <c r="E60" s="215"/>
      <c r="F60" s="214"/>
      <c r="G60" s="215"/>
      <c r="H60" s="215"/>
      <c r="I60" s="216"/>
    </row>
    <row r="61" spans="1:10" s="147" customFormat="1" ht="12.75" x14ac:dyDescent="0.2">
      <c r="A61" s="64" t="s">
        <v>93</v>
      </c>
      <c r="B61" s="40"/>
      <c r="C61" s="40"/>
      <c r="D61" s="40"/>
      <c r="E61" s="40"/>
      <c r="F61" s="37"/>
      <c r="G61" s="40"/>
      <c r="H61" s="40"/>
      <c r="I61" s="40"/>
    </row>
    <row r="62" spans="1:10" s="147" customFormat="1" ht="12.75" x14ac:dyDescent="0.2">
      <c r="A62" s="37" t="s">
        <v>1</v>
      </c>
      <c r="B62" s="40">
        <v>509</v>
      </c>
      <c r="C62" s="40">
        <v>240</v>
      </c>
      <c r="D62" s="40">
        <f t="shared" ref="D62:D68" si="0">C62-B62</f>
        <v>-269</v>
      </c>
      <c r="E62" s="40">
        <v>665</v>
      </c>
      <c r="F62" s="40">
        <f>+E62-C62</f>
        <v>425</v>
      </c>
      <c r="G62" s="40">
        <f t="shared" ref="G62:I63" si="1">G56/(1-G70)-G56</f>
        <v>209.56727111187865</v>
      </c>
      <c r="H62" s="40">
        <f t="shared" si="1"/>
        <v>208.051312323616</v>
      </c>
      <c r="I62" s="40">
        <f t="shared" si="1"/>
        <v>206.53535353535335</v>
      </c>
      <c r="J62" s="147" t="s">
        <v>166</v>
      </c>
    </row>
    <row r="63" spans="1:10" s="147" customFormat="1" ht="12.75" x14ac:dyDescent="0.2">
      <c r="A63" s="37" t="s">
        <v>2</v>
      </c>
      <c r="B63" s="40">
        <v>926</v>
      </c>
      <c r="C63" s="40">
        <v>403</v>
      </c>
      <c r="D63" s="40">
        <f t="shared" si="0"/>
        <v>-523</v>
      </c>
      <c r="E63" s="40">
        <v>806</v>
      </c>
      <c r="F63" s="40">
        <f t="shared" ref="F63:F68" si="2">+E63-C63</f>
        <v>403</v>
      </c>
      <c r="G63" s="40">
        <f t="shared" si="1"/>
        <v>274.72483276436105</v>
      </c>
      <c r="H63" s="40">
        <f t="shared" si="1"/>
        <v>272.42491638218053</v>
      </c>
      <c r="I63" s="40">
        <f t="shared" si="1"/>
        <v>270.125</v>
      </c>
    </row>
    <row r="64" spans="1:10" s="147" customFormat="1" ht="12.75" x14ac:dyDescent="0.2">
      <c r="A64" s="37" t="s">
        <v>8</v>
      </c>
      <c r="B64" s="40">
        <v>151</v>
      </c>
      <c r="C64" s="40">
        <v>119</v>
      </c>
      <c r="D64" s="40">
        <f t="shared" si="0"/>
        <v>-32</v>
      </c>
      <c r="E64" s="139">
        <v>140</v>
      </c>
      <c r="F64" s="40">
        <f t="shared" si="2"/>
        <v>21</v>
      </c>
      <c r="G64" s="140" t="s">
        <v>32</v>
      </c>
      <c r="H64" s="40"/>
      <c r="I64" s="40"/>
    </row>
    <row r="65" spans="1:13" s="147" customFormat="1" ht="12.75" x14ac:dyDescent="0.2">
      <c r="A65" s="37" t="s">
        <v>10</v>
      </c>
      <c r="B65" s="40">
        <v>9319</v>
      </c>
      <c r="C65" s="40">
        <v>8569</v>
      </c>
      <c r="D65" s="40">
        <f t="shared" si="0"/>
        <v>-750</v>
      </c>
      <c r="E65" s="139">
        <v>10467</v>
      </c>
      <c r="F65" s="40">
        <f t="shared" si="2"/>
        <v>1898</v>
      </c>
      <c r="G65" s="140" t="s">
        <v>32</v>
      </c>
      <c r="H65" s="40"/>
      <c r="I65" s="40"/>
    </row>
    <row r="66" spans="1:13" s="147" customFormat="1" ht="12.75" x14ac:dyDescent="0.2">
      <c r="A66" s="37" t="s">
        <v>7</v>
      </c>
      <c r="B66" s="40">
        <v>562</v>
      </c>
      <c r="C66" s="40">
        <v>331</v>
      </c>
      <c r="D66" s="40">
        <f t="shared" si="0"/>
        <v>-231</v>
      </c>
      <c r="E66" s="139">
        <v>538</v>
      </c>
      <c r="F66" s="40">
        <f t="shared" si="2"/>
        <v>207</v>
      </c>
      <c r="G66" s="140" t="s">
        <v>32</v>
      </c>
      <c r="H66" s="40"/>
      <c r="I66" s="40"/>
    </row>
    <row r="67" spans="1:13" s="147" customFormat="1" ht="12.75" x14ac:dyDescent="0.2">
      <c r="A67" s="37" t="s">
        <v>11</v>
      </c>
      <c r="B67" s="40">
        <f>SUM(B62:B66)</f>
        <v>11467</v>
      </c>
      <c r="C67" s="40">
        <f>SUM(C62:C66)</f>
        <v>9662</v>
      </c>
      <c r="D67" s="40">
        <f t="shared" si="0"/>
        <v>-1805</v>
      </c>
      <c r="E67" s="139">
        <v>12620</v>
      </c>
      <c r="F67" s="40">
        <f t="shared" si="2"/>
        <v>2958</v>
      </c>
      <c r="G67" s="140" t="s">
        <v>32</v>
      </c>
      <c r="H67" s="40"/>
      <c r="I67" s="40"/>
    </row>
    <row r="68" spans="1:13" s="147" customFormat="1" ht="12.75" x14ac:dyDescent="0.2">
      <c r="A68" s="37" t="s">
        <v>9</v>
      </c>
      <c r="B68" s="40">
        <v>30306</v>
      </c>
      <c r="C68" s="40">
        <v>32121</v>
      </c>
      <c r="D68" s="40">
        <f t="shared" si="0"/>
        <v>1815</v>
      </c>
      <c r="E68" s="139">
        <v>37386</v>
      </c>
      <c r="F68" s="40">
        <f t="shared" si="2"/>
        <v>5265</v>
      </c>
      <c r="G68" s="140" t="s">
        <v>32</v>
      </c>
      <c r="H68" s="40"/>
      <c r="I68" s="40"/>
    </row>
    <row r="69" spans="1:13" s="147" customFormat="1" x14ac:dyDescent="0.2">
      <c r="A69" s="37"/>
      <c r="B69" s="174"/>
      <c r="C69" s="174"/>
      <c r="D69" s="37"/>
      <c r="E69" s="42"/>
      <c r="F69" s="37"/>
      <c r="G69" s="43"/>
      <c r="H69" s="43"/>
      <c r="I69" s="43"/>
    </row>
    <row r="70" spans="1:13" s="147" customFormat="1" ht="15" x14ac:dyDescent="0.25">
      <c r="A70" s="37" t="s">
        <v>4</v>
      </c>
      <c r="B70" s="43">
        <f>B62/B81</f>
        <v>3.6398741418764299E-2</v>
      </c>
      <c r="C70" s="43">
        <f>C62/C81</f>
        <v>1.4223065070522697E-2</v>
      </c>
      <c r="D70" s="42"/>
      <c r="E70" s="43">
        <f>E62/E81</f>
        <v>3.4657077340004172E-2</v>
      </c>
      <c r="F70" s="37"/>
      <c r="G70" s="218">
        <v>0.01</v>
      </c>
      <c r="H70" s="43">
        <f>G70</f>
        <v>0.01</v>
      </c>
      <c r="I70" s="43">
        <f>H70</f>
        <v>0.01</v>
      </c>
      <c r="J70" s="154" t="s">
        <v>167</v>
      </c>
      <c r="K70" s="169"/>
      <c r="L70" s="169"/>
      <c r="M70" s="170"/>
    </row>
    <row r="71" spans="1:13" s="147" customFormat="1" ht="12.75" x14ac:dyDescent="0.2">
      <c r="A71" s="37" t="s">
        <v>3</v>
      </c>
      <c r="B71" s="43">
        <f>B63/B82</f>
        <v>0.14721780604133544</v>
      </c>
      <c r="C71" s="43">
        <f>C63/C82</f>
        <v>6.4707771355170196E-2</v>
      </c>
      <c r="D71" s="42"/>
      <c r="E71" s="43">
        <f>E63/E82</f>
        <v>0.11434245992339338</v>
      </c>
      <c r="F71" s="37"/>
      <c r="G71" s="218">
        <v>0.04</v>
      </c>
      <c r="H71" s="43">
        <f>G71</f>
        <v>0.04</v>
      </c>
      <c r="I71" s="43">
        <f>H71</f>
        <v>0.04</v>
      </c>
      <c r="J71" s="170" t="s">
        <v>239</v>
      </c>
      <c r="K71" s="170"/>
      <c r="L71" s="170"/>
      <c r="M71" s="170"/>
    </row>
    <row r="72" spans="1:13" s="147" customFormat="1" ht="12.75" x14ac:dyDescent="0.2">
      <c r="A72" s="37" t="s">
        <v>5</v>
      </c>
      <c r="B72" s="43">
        <f>(B62+B63)/B83</f>
        <v>7.0780309756338172E-2</v>
      </c>
      <c r="C72" s="43">
        <f>(C62+C63)/C83</f>
        <v>2.7833088044325167E-2</v>
      </c>
      <c r="D72" s="42"/>
      <c r="E72" s="43">
        <f>(E62+E63)/E83</f>
        <v>5.6065861188398063E-2</v>
      </c>
      <c r="F72" s="37"/>
      <c r="G72" s="43">
        <f>(G62+G63)/G83</f>
        <v>1.7322134761453833E-2</v>
      </c>
      <c r="H72" s="43">
        <f>(H62+H63)/H83</f>
        <v>1.7315146217644357E-2</v>
      </c>
      <c r="I72" s="43">
        <f>(I62+I63)/I83</f>
        <v>1.7308051553901589E-2</v>
      </c>
      <c r="J72" s="170" t="s">
        <v>168</v>
      </c>
      <c r="K72" s="170"/>
      <c r="L72" s="170"/>
      <c r="M72" s="170"/>
    </row>
    <row r="73" spans="1:13" s="147" customFormat="1" ht="12.75" x14ac:dyDescent="0.2">
      <c r="A73" s="37"/>
      <c r="B73" s="43"/>
      <c r="C73" s="43"/>
      <c r="D73" s="42"/>
      <c r="E73" s="42"/>
      <c r="F73" s="37"/>
      <c r="G73" s="37"/>
      <c r="H73" s="37"/>
      <c r="I73" s="37"/>
      <c r="J73" s="170"/>
      <c r="K73" s="170"/>
      <c r="L73" s="170"/>
      <c r="M73" s="170"/>
    </row>
    <row r="74" spans="1:13" s="147" customFormat="1" ht="12.75" x14ac:dyDescent="0.2">
      <c r="A74" s="37"/>
      <c r="B74" s="43"/>
      <c r="C74" s="43"/>
      <c r="D74" s="42"/>
      <c r="E74" s="42"/>
      <c r="F74" s="37"/>
      <c r="G74" s="37"/>
      <c r="H74" s="37"/>
      <c r="I74" s="37"/>
      <c r="J74" s="170"/>
      <c r="K74" s="170"/>
      <c r="L74" s="170"/>
      <c r="M74" s="170"/>
    </row>
    <row r="75" spans="1:13" s="147" customFormat="1" ht="12.75" x14ac:dyDescent="0.2">
      <c r="A75" s="37" t="s">
        <v>38</v>
      </c>
      <c r="B75" s="43"/>
      <c r="C75" s="43"/>
      <c r="D75" s="42"/>
      <c r="E75" s="42"/>
      <c r="F75" s="37"/>
      <c r="G75" s="154">
        <f>0.0005*8*E81</f>
        <v>76.751999999999995</v>
      </c>
      <c r="H75" s="154">
        <f>G75</f>
        <v>76.751999999999995</v>
      </c>
      <c r="I75" s="154">
        <f>H75</f>
        <v>76.751999999999995</v>
      </c>
      <c r="J75" s="170" t="s">
        <v>169</v>
      </c>
      <c r="K75" s="170"/>
      <c r="L75" s="170"/>
      <c r="M75" s="170"/>
    </row>
    <row r="76" spans="1:13" s="147" customFormat="1" ht="12.75" x14ac:dyDescent="0.2">
      <c r="A76" s="37" t="s">
        <v>39</v>
      </c>
      <c r="B76" s="43"/>
      <c r="C76" s="43"/>
      <c r="D76" s="42"/>
      <c r="E76" s="42"/>
      <c r="F76" s="37"/>
      <c r="G76" s="154">
        <f>0.001*8*E82</f>
        <v>56.392000000000003</v>
      </c>
      <c r="H76" s="154">
        <f>G76</f>
        <v>56.392000000000003</v>
      </c>
      <c r="I76" s="154">
        <f>H76</f>
        <v>56.392000000000003</v>
      </c>
      <c r="J76" s="170"/>
      <c r="K76" s="170"/>
      <c r="L76" s="170"/>
      <c r="M76" s="170"/>
    </row>
    <row r="77" spans="1:13" s="147" customFormat="1" ht="12.75" x14ac:dyDescent="0.2">
      <c r="A77" s="37" t="s">
        <v>47</v>
      </c>
      <c r="B77" s="43"/>
      <c r="C77" s="43"/>
      <c r="D77" s="42"/>
      <c r="E77" s="42"/>
      <c r="F77" s="37"/>
      <c r="G77" s="154">
        <f>G75+G76</f>
        <v>133.14400000000001</v>
      </c>
      <c r="H77" s="154">
        <f>H75+H76</f>
        <v>133.14400000000001</v>
      </c>
      <c r="I77" s="154">
        <f>I75+I76</f>
        <v>133.14400000000001</v>
      </c>
      <c r="J77" s="170"/>
      <c r="K77" s="170"/>
      <c r="L77" s="170"/>
      <c r="M77" s="170"/>
    </row>
    <row r="78" spans="1:13" ht="12.75" x14ac:dyDescent="0.2">
      <c r="B78" s="38"/>
      <c r="C78" s="38"/>
      <c r="D78" s="44"/>
      <c r="E78" s="44"/>
      <c r="G78" s="45"/>
      <c r="H78" s="45"/>
      <c r="I78" s="45"/>
      <c r="J78" s="4"/>
      <c r="K78" s="4"/>
      <c r="L78" s="4"/>
      <c r="M78" s="4"/>
    </row>
    <row r="79" spans="1:13" ht="12.75" x14ac:dyDescent="0.2">
      <c r="B79" s="38"/>
      <c r="C79" s="38"/>
      <c r="D79" s="44"/>
      <c r="E79" s="44"/>
      <c r="F79" s="33"/>
      <c r="G79" s="46">
        <v>2020</v>
      </c>
      <c r="H79" s="22">
        <v>2020</v>
      </c>
      <c r="I79" s="47">
        <v>2020</v>
      </c>
      <c r="J79" s="4"/>
      <c r="K79" s="4"/>
      <c r="L79" s="4"/>
      <c r="M79" s="4"/>
    </row>
    <row r="80" spans="1:13" ht="43.5" customHeight="1" x14ac:dyDescent="0.2">
      <c r="A80" s="48" t="s">
        <v>64</v>
      </c>
      <c r="B80" s="48">
        <v>1990</v>
      </c>
      <c r="C80" s="48">
        <v>2000</v>
      </c>
      <c r="D80" s="29" t="s">
        <v>117</v>
      </c>
      <c r="E80" s="48">
        <v>2010</v>
      </c>
      <c r="F80" s="49" t="s">
        <v>44</v>
      </c>
      <c r="G80" s="50" t="s">
        <v>35</v>
      </c>
      <c r="H80" s="51" t="s">
        <v>36</v>
      </c>
      <c r="I80" s="50" t="s">
        <v>37</v>
      </c>
      <c r="J80" s="4"/>
      <c r="K80" s="4"/>
      <c r="L80" s="4"/>
      <c r="M80" s="4"/>
    </row>
    <row r="81" spans="1:13" ht="12.75" x14ac:dyDescent="0.2">
      <c r="A81" s="31" t="s">
        <v>13</v>
      </c>
      <c r="B81" s="32">
        <f>B56+B62</f>
        <v>13984</v>
      </c>
      <c r="C81" s="32">
        <f>C56+C62</f>
        <v>16874</v>
      </c>
      <c r="D81" s="32">
        <f>C81-B81</f>
        <v>2890</v>
      </c>
      <c r="E81" s="32">
        <f>E56+E62</f>
        <v>19188</v>
      </c>
      <c r="F81" s="52" t="s">
        <v>41</v>
      </c>
      <c r="G81" s="53">
        <f t="shared" ref="G81:I82" si="3">G56+G62+G75</f>
        <v>21033.47911118776</v>
      </c>
      <c r="H81" s="53">
        <f t="shared" si="3"/>
        <v>20881.883232361557</v>
      </c>
      <c r="I81" s="53">
        <f t="shared" si="3"/>
        <v>20730.287353535354</v>
      </c>
      <c r="J81" s="6"/>
      <c r="K81" s="7"/>
      <c r="L81" s="6"/>
      <c r="M81" s="4"/>
    </row>
    <row r="82" spans="1:13" ht="15" x14ac:dyDescent="0.25">
      <c r="A82" s="31" t="s">
        <v>14</v>
      </c>
      <c r="B82" s="32">
        <f>B57+B63</f>
        <v>6290</v>
      </c>
      <c r="C82" s="32">
        <f>C57+C63</f>
        <v>6228</v>
      </c>
      <c r="D82" s="32">
        <f>C82-B82</f>
        <v>-62</v>
      </c>
      <c r="E82" s="32">
        <f>E57+E63</f>
        <v>7049</v>
      </c>
      <c r="F82" s="52" t="s">
        <v>43</v>
      </c>
      <c r="G82" s="53">
        <f t="shared" si="3"/>
        <v>6924.5128191090225</v>
      </c>
      <c r="H82" s="53">
        <f t="shared" si="3"/>
        <v>6867.0149095545112</v>
      </c>
      <c r="I82" s="53">
        <f t="shared" si="3"/>
        <v>6809.5169999999998</v>
      </c>
      <c r="J82" s="8"/>
      <c r="K82" s="9"/>
      <c r="L82" s="8"/>
      <c r="M82" s="4"/>
    </row>
    <row r="83" spans="1:13" ht="15" x14ac:dyDescent="0.25">
      <c r="A83" s="31" t="s">
        <v>12</v>
      </c>
      <c r="B83" s="32">
        <f>B81+B82</f>
        <v>20274</v>
      </c>
      <c r="C83" s="32">
        <f>C81+C82</f>
        <v>23102</v>
      </c>
      <c r="D83" s="32">
        <f>C83-B83</f>
        <v>2828</v>
      </c>
      <c r="E83" s="32">
        <f>E81+E82</f>
        <v>26237</v>
      </c>
      <c r="F83" s="52" t="s">
        <v>42</v>
      </c>
      <c r="G83" s="53">
        <f>G81+G82</f>
        <v>27957.991930296783</v>
      </c>
      <c r="H83" s="53">
        <f>H81+H82</f>
        <v>27748.89814191607</v>
      </c>
      <c r="I83" s="53">
        <f>I81+I82</f>
        <v>27539.804353535354</v>
      </c>
      <c r="J83" s="5"/>
      <c r="K83" s="5"/>
      <c r="L83" s="5"/>
      <c r="M83" s="4"/>
    </row>
    <row r="84" spans="1:13" ht="15" x14ac:dyDescent="0.25">
      <c r="B84" s="32"/>
      <c r="C84" s="32"/>
      <c r="D84" s="32"/>
      <c r="E84" s="32"/>
      <c r="F84" s="54" t="s">
        <v>205</v>
      </c>
      <c r="G84" s="75"/>
      <c r="H84" s="76"/>
      <c r="I84" s="77"/>
      <c r="J84" s="5"/>
      <c r="K84" s="5"/>
      <c r="L84" s="5"/>
      <c r="M84" s="4"/>
    </row>
    <row r="85" spans="1:13" ht="12.75" x14ac:dyDescent="0.2">
      <c r="B85" s="32"/>
      <c r="C85" s="39"/>
      <c r="F85" s="49" t="s">
        <v>44</v>
      </c>
      <c r="G85" s="78" t="s">
        <v>35</v>
      </c>
      <c r="H85" s="79" t="s">
        <v>36</v>
      </c>
      <c r="I85" s="78" t="s">
        <v>37</v>
      </c>
    </row>
    <row r="86" spans="1:13" ht="12.75" x14ac:dyDescent="0.2">
      <c r="F86" s="52" t="s">
        <v>41</v>
      </c>
      <c r="G86" s="53">
        <f>G81-E81</f>
        <v>1845.4791111877603</v>
      </c>
      <c r="H86" s="53">
        <f>H81-E81</f>
        <v>1693.883232361557</v>
      </c>
      <c r="I86" s="53">
        <f>I81-E81</f>
        <v>1542.2873535353538</v>
      </c>
    </row>
    <row r="87" spans="1:13" ht="12.75" x14ac:dyDescent="0.2">
      <c r="F87" s="52" t="s">
        <v>43</v>
      </c>
      <c r="G87" s="53">
        <f>G82-E82</f>
        <v>-124.48718089097747</v>
      </c>
      <c r="H87" s="53">
        <f>H82-E82</f>
        <v>-181.98509044548882</v>
      </c>
      <c r="I87" s="53">
        <f>I82-E82</f>
        <v>-239.48300000000017</v>
      </c>
    </row>
    <row r="88" spans="1:13" ht="12.75" x14ac:dyDescent="0.2">
      <c r="F88" s="52" t="s">
        <v>42</v>
      </c>
      <c r="G88" s="53">
        <f>G83-E83</f>
        <v>1720.9919302967828</v>
      </c>
      <c r="H88" s="53">
        <f>H83-E83</f>
        <v>1511.89814191607</v>
      </c>
      <c r="I88" s="53">
        <f>I83-E83</f>
        <v>1302.8043535353536</v>
      </c>
    </row>
    <row r="89" spans="1:13" ht="12.75" x14ac:dyDescent="0.2">
      <c r="B89" s="38"/>
      <c r="C89" s="38"/>
      <c r="F89" s="35" t="s">
        <v>91</v>
      </c>
      <c r="G89" s="36"/>
      <c r="H89" s="36"/>
      <c r="I89" s="55"/>
    </row>
    <row r="90" spans="1:13" ht="12.75" x14ac:dyDescent="0.2">
      <c r="B90" s="38"/>
      <c r="C90" s="38"/>
      <c r="F90" s="52" t="s">
        <v>41</v>
      </c>
      <c r="G90" s="53">
        <f t="shared" ref="G90:I91" si="4">(1-$G$16)*G86</f>
        <v>1225.0863635416747</v>
      </c>
      <c r="H90" s="53">
        <f t="shared" si="4"/>
        <v>1124.4523098733193</v>
      </c>
      <c r="I90" s="53">
        <f t="shared" si="4"/>
        <v>1023.8182562049641</v>
      </c>
    </row>
    <row r="91" spans="1:13" ht="12.75" x14ac:dyDescent="0.2">
      <c r="B91" s="38"/>
      <c r="C91" s="38"/>
      <c r="F91" s="52" t="s">
        <v>43</v>
      </c>
      <c r="G91" s="53">
        <f t="shared" si="4"/>
        <v>-82.638457851266367</v>
      </c>
      <c r="H91" s="53">
        <f t="shared" si="4"/>
        <v>-120.8073563775948</v>
      </c>
      <c r="I91" s="53">
        <f t="shared" si="4"/>
        <v>-158.97625490392326</v>
      </c>
    </row>
    <row r="92" spans="1:13" ht="12.75" x14ac:dyDescent="0.2">
      <c r="B92" s="38"/>
      <c r="C92" s="38"/>
      <c r="F92" s="52" t="s">
        <v>42</v>
      </c>
      <c r="G92" s="53">
        <f>G90+G91</f>
        <v>1142.4479056904083</v>
      </c>
      <c r="H92" s="53">
        <f>H90+H91</f>
        <v>1003.6449534957245</v>
      </c>
      <c r="I92" s="53">
        <f>I90+I91</f>
        <v>864.8420013010408</v>
      </c>
    </row>
    <row r="93" spans="1:13" x14ac:dyDescent="0.2">
      <c r="A93" s="30"/>
      <c r="B93" s="67"/>
      <c r="C93" s="67"/>
      <c r="D93" s="30"/>
      <c r="E93" s="30"/>
      <c r="F93" s="69"/>
      <c r="G93" s="72"/>
      <c r="H93" s="72"/>
      <c r="I93" s="74"/>
    </row>
    <row r="94" spans="1:13" x14ac:dyDescent="0.2">
      <c r="A94" s="30"/>
      <c r="B94" s="67"/>
      <c r="C94" s="67"/>
      <c r="D94" s="30"/>
      <c r="E94" s="30"/>
      <c r="F94" s="69"/>
      <c r="G94" s="72"/>
      <c r="H94" s="72"/>
      <c r="I94" s="74"/>
    </row>
    <row r="95" spans="1:13" ht="25.5" x14ac:dyDescent="0.2">
      <c r="A95" s="184" t="s">
        <v>155</v>
      </c>
      <c r="B95" s="181">
        <v>1990</v>
      </c>
      <c r="C95" s="182">
        <v>2000</v>
      </c>
      <c r="D95" s="183" t="s">
        <v>117</v>
      </c>
      <c r="E95" s="48">
        <v>2010</v>
      </c>
      <c r="F95" s="34"/>
      <c r="G95" s="175"/>
      <c r="H95" s="176" t="s">
        <v>185</v>
      </c>
      <c r="I95" s="177"/>
      <c r="K95" s="178"/>
      <c r="L95" s="179" t="s">
        <v>186</v>
      </c>
      <c r="M95" s="180"/>
    </row>
    <row r="96" spans="1:13" ht="12.75" x14ac:dyDescent="0.2">
      <c r="A96" s="21" t="s">
        <v>150</v>
      </c>
      <c r="B96" s="32">
        <f t="shared" ref="B96:C98" si="5">B29</f>
        <v>14662</v>
      </c>
      <c r="C96" s="32">
        <f t="shared" si="5"/>
        <v>17299</v>
      </c>
      <c r="D96" s="32">
        <f>C96-B96</f>
        <v>2637</v>
      </c>
      <c r="E96" s="32">
        <f>E29</f>
        <v>18574</v>
      </c>
      <c r="F96" s="34"/>
      <c r="G96" s="32">
        <f t="shared" ref="G96:I98" si="6">G29</f>
        <v>18339.555826420543</v>
      </c>
      <c r="H96" s="32">
        <f t="shared" si="6"/>
        <v>18134.277913210273</v>
      </c>
      <c r="I96" s="32">
        <f t="shared" si="6"/>
        <v>17929</v>
      </c>
      <c r="K96" s="3">
        <f>G96-E96</f>
        <v>-234.44417357945713</v>
      </c>
      <c r="L96" s="3">
        <f>H96-E96</f>
        <v>-439.72208678972675</v>
      </c>
      <c r="M96" s="3">
        <f>I96-E96</f>
        <v>-645</v>
      </c>
    </row>
    <row r="97" spans="1:13" ht="12.75" x14ac:dyDescent="0.2">
      <c r="A97" s="31" t="s">
        <v>151</v>
      </c>
      <c r="B97" s="32">
        <f t="shared" si="5"/>
        <v>10259</v>
      </c>
      <c r="C97" s="32">
        <f t="shared" si="5"/>
        <v>12475</v>
      </c>
      <c r="D97" s="32">
        <f>C97-B97</f>
        <v>2216</v>
      </c>
      <c r="E97" s="32">
        <f>E30</f>
        <v>13526</v>
      </c>
      <c r="F97" s="34"/>
      <c r="G97" s="32">
        <f t="shared" si="6"/>
        <v>13408.159840075881</v>
      </c>
      <c r="H97" s="32">
        <f t="shared" si="6"/>
        <v>13258.079920037942</v>
      </c>
      <c r="I97" s="32">
        <f t="shared" si="6"/>
        <v>13108</v>
      </c>
      <c r="K97" s="3">
        <f t="shared" ref="K97:K106" si="7">G97-E97</f>
        <v>-117.84015992411878</v>
      </c>
      <c r="L97" s="3">
        <f t="shared" ref="L97:L106" si="8">H97-E97</f>
        <v>-267.92007996205757</v>
      </c>
      <c r="M97" s="3">
        <f t="shared" ref="M97:M106" si="9">I97-E97</f>
        <v>-418</v>
      </c>
    </row>
    <row r="98" spans="1:13" ht="12.75" x14ac:dyDescent="0.2">
      <c r="A98" s="31" t="s">
        <v>152</v>
      </c>
      <c r="B98" s="32">
        <f t="shared" si="5"/>
        <v>4403</v>
      </c>
      <c r="C98" s="32">
        <f t="shared" si="5"/>
        <v>4824</v>
      </c>
      <c r="D98" s="32">
        <f>C98-B98</f>
        <v>421</v>
      </c>
      <c r="E98" s="32">
        <f>E31</f>
        <v>5048</v>
      </c>
      <c r="F98" s="34"/>
      <c r="G98" s="32">
        <f t="shared" si="6"/>
        <v>4931.3959863446617</v>
      </c>
      <c r="H98" s="32">
        <f t="shared" si="6"/>
        <v>4876.1979931723308</v>
      </c>
      <c r="I98" s="32">
        <f t="shared" si="6"/>
        <v>4821</v>
      </c>
      <c r="K98" s="3">
        <f t="shared" si="7"/>
        <v>-116.60401365533835</v>
      </c>
      <c r="L98" s="3">
        <f t="shared" si="8"/>
        <v>-171.80200682766917</v>
      </c>
      <c r="M98" s="3">
        <f t="shared" si="9"/>
        <v>-227</v>
      </c>
    </row>
    <row r="99" spans="1:13" ht="12.75" x14ac:dyDescent="0.2">
      <c r="F99" s="34"/>
      <c r="H99" s="31"/>
      <c r="K99" s="3"/>
      <c r="L99" s="3"/>
      <c r="M99" s="3"/>
    </row>
    <row r="100" spans="1:13" ht="12.75" x14ac:dyDescent="0.2">
      <c r="A100" s="21" t="s">
        <v>153</v>
      </c>
      <c r="B100" s="32">
        <f>B41</f>
        <v>4177</v>
      </c>
      <c r="C100" s="32">
        <f>C41</f>
        <v>5160</v>
      </c>
      <c r="D100" s="32">
        <f t="shared" ref="D100:D106" si="10">C100-B100</f>
        <v>983</v>
      </c>
      <c r="E100" s="32">
        <f>E41</f>
        <v>6192</v>
      </c>
      <c r="F100" s="34"/>
      <c r="G100" s="32">
        <f>G41</f>
        <v>9001</v>
      </c>
      <c r="H100" s="32">
        <f>H41</f>
        <v>9001</v>
      </c>
      <c r="I100" s="32">
        <f>I41</f>
        <v>9001</v>
      </c>
      <c r="K100" s="3">
        <f t="shared" si="7"/>
        <v>2809</v>
      </c>
      <c r="L100" s="3">
        <f t="shared" si="8"/>
        <v>2809</v>
      </c>
      <c r="M100" s="3">
        <f t="shared" si="9"/>
        <v>2809</v>
      </c>
    </row>
    <row r="101" spans="1:13" ht="12.75" x14ac:dyDescent="0.2">
      <c r="A101" s="31" t="s">
        <v>151</v>
      </c>
      <c r="B101" s="32">
        <f>B45</f>
        <v>3216</v>
      </c>
      <c r="C101" s="32">
        <f>C45</f>
        <v>4159</v>
      </c>
      <c r="D101" s="32">
        <f t="shared" si="10"/>
        <v>943</v>
      </c>
      <c r="E101" s="32">
        <f>E45</f>
        <v>4997</v>
      </c>
      <c r="F101" s="34"/>
      <c r="G101" s="32">
        <f t="shared" ref="G101:I102" si="11">G45</f>
        <v>7339</v>
      </c>
      <c r="H101" s="32">
        <f t="shared" si="11"/>
        <v>7339</v>
      </c>
      <c r="I101" s="32">
        <f t="shared" si="11"/>
        <v>7339</v>
      </c>
      <c r="K101" s="3">
        <f t="shared" si="7"/>
        <v>2342</v>
      </c>
      <c r="L101" s="3">
        <f t="shared" si="8"/>
        <v>2342</v>
      </c>
      <c r="M101" s="3">
        <f t="shared" si="9"/>
        <v>2342</v>
      </c>
    </row>
    <row r="102" spans="1:13" ht="12.75" x14ac:dyDescent="0.2">
      <c r="A102" s="31" t="s">
        <v>152</v>
      </c>
      <c r="B102" s="32">
        <f>B46</f>
        <v>961</v>
      </c>
      <c r="C102" s="32">
        <f>C46</f>
        <v>1001</v>
      </c>
      <c r="D102" s="32">
        <f t="shared" si="10"/>
        <v>40</v>
      </c>
      <c r="E102" s="32">
        <f>E46</f>
        <v>1195</v>
      </c>
      <c r="F102" s="34"/>
      <c r="G102" s="32">
        <f t="shared" si="11"/>
        <v>1662</v>
      </c>
      <c r="H102" s="32">
        <f t="shared" si="11"/>
        <v>1662</v>
      </c>
      <c r="I102" s="32">
        <f t="shared" si="11"/>
        <v>1662</v>
      </c>
      <c r="K102" s="3">
        <f t="shared" si="7"/>
        <v>467</v>
      </c>
      <c r="L102" s="3">
        <f t="shared" si="8"/>
        <v>467</v>
      </c>
      <c r="M102" s="3">
        <f t="shared" si="9"/>
        <v>467</v>
      </c>
    </row>
    <row r="103" spans="1:13" ht="12.75" x14ac:dyDescent="0.2">
      <c r="B103" s="38"/>
      <c r="C103" s="38"/>
      <c r="F103" s="34"/>
      <c r="H103" s="31"/>
      <c r="K103" s="3"/>
      <c r="L103" s="3"/>
      <c r="M103" s="3"/>
    </row>
    <row r="104" spans="1:13" ht="12.75" x14ac:dyDescent="0.2">
      <c r="A104" s="21" t="s">
        <v>154</v>
      </c>
      <c r="B104" s="32">
        <f t="shared" ref="B104:C106" si="12">B55</f>
        <v>18839</v>
      </c>
      <c r="C104" s="32">
        <f t="shared" si="12"/>
        <v>22459</v>
      </c>
      <c r="D104" s="32">
        <f t="shared" si="10"/>
        <v>3620</v>
      </c>
      <c r="E104" s="32">
        <f>E55</f>
        <v>24766</v>
      </c>
      <c r="F104" s="34"/>
      <c r="G104" s="32">
        <f t="shared" ref="G104:I106" si="13">G55</f>
        <v>27340.555826420543</v>
      </c>
      <c r="H104" s="32">
        <f t="shared" si="13"/>
        <v>27135.277913210273</v>
      </c>
      <c r="I104" s="32">
        <f t="shared" si="13"/>
        <v>26930</v>
      </c>
      <c r="K104" s="3">
        <f t="shared" si="7"/>
        <v>2574.5558264205429</v>
      </c>
      <c r="L104" s="3">
        <f t="shared" si="8"/>
        <v>2369.2779132102733</v>
      </c>
      <c r="M104" s="3">
        <f t="shared" si="9"/>
        <v>2164</v>
      </c>
    </row>
    <row r="105" spans="1:13" ht="12.75" x14ac:dyDescent="0.2">
      <c r="A105" s="31" t="s">
        <v>151</v>
      </c>
      <c r="B105" s="32">
        <f t="shared" si="12"/>
        <v>13475</v>
      </c>
      <c r="C105" s="32">
        <f t="shared" si="12"/>
        <v>16634</v>
      </c>
      <c r="D105" s="32">
        <f t="shared" si="10"/>
        <v>3159</v>
      </c>
      <c r="E105" s="32">
        <f>E56</f>
        <v>18523</v>
      </c>
      <c r="F105" s="34"/>
      <c r="G105" s="32">
        <f t="shared" si="13"/>
        <v>20747.159840075881</v>
      </c>
      <c r="H105" s="32">
        <f t="shared" si="13"/>
        <v>20597.079920037941</v>
      </c>
      <c r="I105" s="32">
        <f t="shared" si="13"/>
        <v>20447</v>
      </c>
      <c r="K105" s="3">
        <f t="shared" si="7"/>
        <v>2224.1598400758812</v>
      </c>
      <c r="L105" s="3">
        <f t="shared" si="8"/>
        <v>2074.0799200379406</v>
      </c>
      <c r="M105" s="3">
        <f t="shared" si="9"/>
        <v>1924</v>
      </c>
    </row>
    <row r="106" spans="1:13" ht="12.75" x14ac:dyDescent="0.2">
      <c r="A106" s="31" t="s">
        <v>152</v>
      </c>
      <c r="B106" s="32">
        <f t="shared" si="12"/>
        <v>5364</v>
      </c>
      <c r="C106" s="32">
        <f t="shared" si="12"/>
        <v>5825</v>
      </c>
      <c r="D106" s="32">
        <f t="shared" si="10"/>
        <v>461</v>
      </c>
      <c r="E106" s="32">
        <f>E57</f>
        <v>6243</v>
      </c>
      <c r="F106" s="34"/>
      <c r="G106" s="32">
        <f t="shared" si="13"/>
        <v>6593.3959863446617</v>
      </c>
      <c r="H106" s="32">
        <f t="shared" si="13"/>
        <v>6538.1979931723308</v>
      </c>
      <c r="I106" s="32">
        <f t="shared" si="13"/>
        <v>6483</v>
      </c>
      <c r="K106" s="3">
        <f t="shared" si="7"/>
        <v>350.39598634466165</v>
      </c>
      <c r="L106" s="3">
        <f t="shared" si="8"/>
        <v>295.19799317233083</v>
      </c>
      <c r="M106" s="3">
        <f t="shared" si="9"/>
        <v>240</v>
      </c>
    </row>
    <row r="107" spans="1:13" x14ac:dyDescent="0.2">
      <c r="A107" s="30"/>
      <c r="B107" s="67"/>
      <c r="C107" s="67"/>
      <c r="D107" s="30"/>
      <c r="E107" s="30"/>
      <c r="F107" s="69"/>
      <c r="G107" s="72"/>
      <c r="H107" s="72"/>
      <c r="I107" s="74"/>
    </row>
    <row r="108" spans="1:13" x14ac:dyDescent="0.2">
      <c r="A108" s="30"/>
      <c r="B108" s="67"/>
      <c r="C108" s="67"/>
      <c r="D108" s="30"/>
      <c r="E108" s="30"/>
      <c r="F108" s="69"/>
      <c r="G108" s="72"/>
      <c r="H108" s="72"/>
      <c r="I108" s="74"/>
    </row>
    <row r="109" spans="1:13" ht="12.75" x14ac:dyDescent="0.2">
      <c r="A109" s="222" t="s">
        <v>206</v>
      </c>
      <c r="B109" s="38"/>
      <c r="C109" s="38"/>
      <c r="E109" s="57" t="s">
        <v>187</v>
      </c>
      <c r="F109" s="34"/>
      <c r="G109" s="45"/>
      <c r="H109" s="58"/>
      <c r="I109" s="56"/>
    </row>
    <row r="110" spans="1:13" ht="12.75" x14ac:dyDescent="0.2">
      <c r="A110" s="222" t="s">
        <v>207</v>
      </c>
      <c r="B110" s="38"/>
      <c r="C110" s="38"/>
      <c r="E110" s="219" t="s">
        <v>209</v>
      </c>
      <c r="F110" s="34"/>
      <c r="H110" s="59"/>
    </row>
    <row r="111" spans="1:13" ht="12.75" x14ac:dyDescent="0.2">
      <c r="A111" s="21"/>
      <c r="B111" s="38"/>
      <c r="C111" s="38"/>
      <c r="F111" s="34"/>
      <c r="G111" s="60" t="s">
        <v>77</v>
      </c>
      <c r="H111" s="60" t="s">
        <v>78</v>
      </c>
      <c r="I111" s="61" t="s">
        <v>79</v>
      </c>
    </row>
    <row r="112" spans="1:13" ht="12.75" x14ac:dyDescent="0.2">
      <c r="A112" s="21" t="s">
        <v>49</v>
      </c>
      <c r="B112" s="38"/>
      <c r="C112" s="62" t="s">
        <v>208</v>
      </c>
      <c r="E112" s="21" t="s">
        <v>49</v>
      </c>
      <c r="F112" s="34"/>
      <c r="G112" s="45"/>
      <c r="H112" s="31"/>
      <c r="I112" s="56"/>
    </row>
    <row r="113" spans="1:9" ht="12.75" x14ac:dyDescent="0.2">
      <c r="A113" s="31" t="s">
        <v>50</v>
      </c>
      <c r="B113" s="38"/>
      <c r="C113" s="217">
        <v>1515.1714342868572</v>
      </c>
      <c r="E113" s="31" t="s">
        <v>50</v>
      </c>
      <c r="F113" s="34"/>
      <c r="G113" s="45">
        <f>G56*C141</f>
        <v>1618.0514686157328</v>
      </c>
      <c r="H113" s="45">
        <f>H56*C141</f>
        <v>1606.346876907809</v>
      </c>
      <c r="I113" s="45">
        <f>I56*C141</f>
        <v>1594.6422851998852</v>
      </c>
    </row>
    <row r="114" spans="1:9" ht="12.75" x14ac:dyDescent="0.2">
      <c r="A114" s="31" t="s">
        <v>51</v>
      </c>
      <c r="B114" s="38"/>
      <c r="C114" s="217">
        <v>3068.5647564756478</v>
      </c>
      <c r="E114" s="31" t="s">
        <v>51</v>
      </c>
      <c r="F114" s="34"/>
      <c r="G114" s="45">
        <f>G56*C142</f>
        <v>3276.9200886464782</v>
      </c>
      <c r="H114" s="45">
        <f>H56*C142</f>
        <v>3253.2156438614716</v>
      </c>
      <c r="I114" s="45">
        <f>I56*C142</f>
        <v>3229.5111990764653</v>
      </c>
    </row>
    <row r="115" spans="1:9" ht="12.75" x14ac:dyDescent="0.2">
      <c r="A115" s="31" t="s">
        <v>52</v>
      </c>
      <c r="B115" s="38"/>
      <c r="C115" s="217">
        <v>3987.7645164516448</v>
      </c>
      <c r="E115" s="31" t="s">
        <v>52</v>
      </c>
      <c r="F115" s="34"/>
      <c r="G115" s="45">
        <f>G56*C143</f>
        <v>4258.5334479825597</v>
      </c>
      <c r="H115" s="45">
        <f>H56*C143</f>
        <v>4227.728250342082</v>
      </c>
      <c r="I115" s="45">
        <f>I56*C143</f>
        <v>4196.9230527016043</v>
      </c>
    </row>
    <row r="116" spans="1:9" ht="12.75" x14ac:dyDescent="0.2">
      <c r="A116" s="31" t="s">
        <v>53</v>
      </c>
      <c r="B116" s="38"/>
      <c r="C116" s="217">
        <v>5896.5624774985008</v>
      </c>
      <c r="E116" s="31" t="s">
        <v>53</v>
      </c>
      <c r="F116" s="34"/>
      <c r="G116" s="45">
        <f>G56*C144</f>
        <v>6296.9386569721664</v>
      </c>
      <c r="H116" s="45">
        <f>H56*C144</f>
        <v>6251.3881306636576</v>
      </c>
      <c r="I116" s="45">
        <f>I56*C144</f>
        <v>6205.8376043551498</v>
      </c>
    </row>
    <row r="117" spans="1:9" ht="12.75" x14ac:dyDescent="0.2">
      <c r="A117" s="31" t="s">
        <v>54</v>
      </c>
      <c r="B117" s="38"/>
      <c r="C117" s="217">
        <v>7851.0829633185331</v>
      </c>
      <c r="E117" s="31" t="s">
        <v>54</v>
      </c>
      <c r="F117" s="34"/>
      <c r="G117" s="45">
        <f>G56*C145</f>
        <v>8384.1709469665548</v>
      </c>
      <c r="H117" s="45">
        <f>H56*C145</f>
        <v>8323.5218887337924</v>
      </c>
      <c r="I117" s="45">
        <f>I56*C145</f>
        <v>8262.8728305010318</v>
      </c>
    </row>
    <row r="118" spans="1:9" ht="12.75" x14ac:dyDescent="0.2">
      <c r="A118" s="31" t="s">
        <v>55</v>
      </c>
      <c r="B118" s="38"/>
      <c r="C118" s="217">
        <v>9843.9748389935594</v>
      </c>
      <c r="E118" s="31" t="s">
        <v>55</v>
      </c>
      <c r="F118" s="34"/>
      <c r="G118" s="45">
        <f>G56*C146</f>
        <v>10512.380041501163</v>
      </c>
      <c r="H118" s="45">
        <f>H56*C146</f>
        <v>10436.336035083023</v>
      </c>
      <c r="I118" s="45">
        <f>I56*C146</f>
        <v>10360.29202866488</v>
      </c>
    </row>
    <row r="119" spans="1:9" ht="12.75" x14ac:dyDescent="0.2">
      <c r="A119" s="31" t="s">
        <v>56</v>
      </c>
      <c r="B119" s="38"/>
      <c r="C119" s="217">
        <v>19428</v>
      </c>
      <c r="E119" s="31" t="s">
        <v>56</v>
      </c>
      <c r="F119" s="34"/>
      <c r="G119" s="45">
        <f>G56*C147</f>
        <v>20747.159840075881</v>
      </c>
      <c r="H119" s="45">
        <f>H56*C147</f>
        <v>20597.079920037941</v>
      </c>
      <c r="I119" s="45">
        <f>I56*C147</f>
        <v>20447</v>
      </c>
    </row>
    <row r="120" spans="1:9" ht="12.75" x14ac:dyDescent="0.2">
      <c r="B120" s="38"/>
      <c r="C120" s="32"/>
      <c r="F120" s="34"/>
      <c r="G120" s="45"/>
      <c r="H120" s="45"/>
      <c r="I120" s="45"/>
    </row>
    <row r="121" spans="1:9" ht="12.75" x14ac:dyDescent="0.2">
      <c r="A121" s="21" t="s">
        <v>0</v>
      </c>
      <c r="B121" s="38"/>
      <c r="C121" s="32"/>
      <c r="E121" s="21" t="s">
        <v>0</v>
      </c>
      <c r="F121" s="34"/>
      <c r="G121" s="45"/>
      <c r="H121" s="45"/>
      <c r="I121" s="45"/>
    </row>
    <row r="122" spans="1:9" ht="12.75" x14ac:dyDescent="0.2">
      <c r="A122" s="31" t="s">
        <v>50</v>
      </c>
      <c r="B122" s="38"/>
      <c r="C122" s="217">
        <v>1383.8285257051409</v>
      </c>
      <c r="E122" s="31" t="s">
        <v>50</v>
      </c>
      <c r="F122" s="34"/>
      <c r="G122" s="45">
        <f>G57*C150</f>
        <v>1520.6882411955878</v>
      </c>
      <c r="H122" s="45">
        <f>H57*C150</f>
        <v>1507.9574816099964</v>
      </c>
      <c r="I122" s="45">
        <f>I57*C150</f>
        <v>1495.2267220244048</v>
      </c>
    </row>
    <row r="123" spans="1:9" ht="12.75" x14ac:dyDescent="0.2">
      <c r="A123" s="31" t="s">
        <v>51</v>
      </c>
      <c r="B123" s="38"/>
      <c r="C123" s="217">
        <v>2462.3964396439642</v>
      </c>
      <c r="E123" s="31" t="s">
        <v>51</v>
      </c>
      <c r="F123" s="34"/>
      <c r="G123" s="45">
        <f>G57*C151</f>
        <v>2705.9258003229829</v>
      </c>
      <c r="H123" s="45">
        <f>H57*C151</f>
        <v>2683.2725766791432</v>
      </c>
      <c r="I123" s="45">
        <f>I57*C151</f>
        <v>2660.6193530353034</v>
      </c>
    </row>
    <row r="124" spans="1:9" ht="12.75" x14ac:dyDescent="0.2">
      <c r="A124" s="31" t="s">
        <v>52</v>
      </c>
      <c r="B124" s="38"/>
      <c r="C124" s="217">
        <v>2909.8179817981795</v>
      </c>
      <c r="E124" s="31" t="s">
        <v>52</v>
      </c>
      <c r="F124" s="34"/>
      <c r="G124" s="45">
        <f>G57*C152</f>
        <v>3197.5970336969399</v>
      </c>
      <c r="H124" s="45">
        <f>H57*C152</f>
        <v>3170.8276815149366</v>
      </c>
      <c r="I124" s="45">
        <f>I57*C152</f>
        <v>3144.0583293329328</v>
      </c>
    </row>
    <row r="125" spans="1:9" ht="12.75" x14ac:dyDescent="0.2">
      <c r="A125" s="31" t="s">
        <v>53</v>
      </c>
      <c r="B125" s="38"/>
      <c r="C125" s="217">
        <v>3865.1176878458568</v>
      </c>
      <c r="E125" s="31" t="s">
        <v>53</v>
      </c>
      <c r="F125" s="34"/>
      <c r="G125" s="45">
        <f>G57*C153</f>
        <v>4247.3752416321049</v>
      </c>
      <c r="H125" s="45">
        <f>H57*C153</f>
        <v>4211.8174516747767</v>
      </c>
      <c r="I125" s="45">
        <f>I57*C153</f>
        <v>4176.2596617174477</v>
      </c>
    </row>
    <row r="126" spans="1:9" ht="12.75" x14ac:dyDescent="0.2">
      <c r="A126" s="31" t="s">
        <v>54</v>
      </c>
      <c r="B126" s="38"/>
      <c r="C126" s="217">
        <v>4667.3874154966197</v>
      </c>
      <c r="E126" s="31" t="s">
        <v>54</v>
      </c>
      <c r="F126" s="34"/>
      <c r="G126" s="45">
        <f>G57*C154</f>
        <v>5128.9889086751655</v>
      </c>
      <c r="H126" s="45">
        <f>H57*C154</f>
        <v>5086.0505055596313</v>
      </c>
      <c r="I126" s="45">
        <f>I57*C154</f>
        <v>5043.1121024440972</v>
      </c>
    </row>
    <row r="127" spans="1:9" ht="12.75" x14ac:dyDescent="0.2">
      <c r="A127" s="31" t="s">
        <v>55</v>
      </c>
      <c r="B127" s="38"/>
      <c r="C127" s="217">
        <v>5003.2775871034837</v>
      </c>
      <c r="E127" s="31" t="s">
        <v>55</v>
      </c>
      <c r="F127" s="34"/>
      <c r="G127" s="45">
        <f>G57*C155</f>
        <v>5498.0983935627191</v>
      </c>
      <c r="H127" s="45">
        <f>H57*C155</f>
        <v>5452.0699132140162</v>
      </c>
      <c r="I127" s="45">
        <f>I57*C155</f>
        <v>5406.0414328653142</v>
      </c>
    </row>
    <row r="128" spans="1:9" ht="12.75" x14ac:dyDescent="0.2">
      <c r="A128" s="31" t="s">
        <v>57</v>
      </c>
      <c r="B128" s="38"/>
      <c r="C128" s="217">
        <v>6000</v>
      </c>
      <c r="E128" s="31" t="s">
        <v>57</v>
      </c>
      <c r="F128" s="34"/>
      <c r="G128" s="45">
        <f>G57*C156</f>
        <v>6593.3959863446617</v>
      </c>
      <c r="H128" s="45">
        <f>H57*C156</f>
        <v>6538.1979931723308</v>
      </c>
      <c r="I128" s="45">
        <f>I57*C156</f>
        <v>6483</v>
      </c>
    </row>
    <row r="129" spans="1:9" ht="12.75" x14ac:dyDescent="0.2">
      <c r="B129" s="38"/>
      <c r="C129" s="32"/>
      <c r="F129" s="34"/>
      <c r="G129" s="45"/>
      <c r="H129" s="45"/>
      <c r="I129" s="45"/>
    </row>
    <row r="130" spans="1:9" ht="12.75" x14ac:dyDescent="0.2">
      <c r="A130" s="21" t="s">
        <v>58</v>
      </c>
      <c r="B130" s="38"/>
      <c r="C130" s="38"/>
      <c r="E130" s="21" t="s">
        <v>58</v>
      </c>
      <c r="F130" s="34"/>
      <c r="G130" s="45"/>
      <c r="H130" s="45"/>
      <c r="I130" s="45"/>
    </row>
    <row r="131" spans="1:9" ht="12.75" x14ac:dyDescent="0.2">
      <c r="A131" s="31" t="s">
        <v>50</v>
      </c>
      <c r="B131" s="38"/>
      <c r="C131" s="32">
        <f>C113+C122</f>
        <v>2898.9999599919984</v>
      </c>
      <c r="E131" s="31" t="s">
        <v>50</v>
      </c>
      <c r="F131" s="34"/>
      <c r="G131" s="32">
        <f>G113+G122</f>
        <v>3138.7397098113206</v>
      </c>
      <c r="H131" s="32">
        <f>H113+H122</f>
        <v>3114.3043585178057</v>
      </c>
      <c r="I131" s="32">
        <f>I113+I122</f>
        <v>3089.8690072242898</v>
      </c>
    </row>
    <row r="132" spans="1:9" ht="12.75" x14ac:dyDescent="0.2">
      <c r="A132" s="31" t="s">
        <v>51</v>
      </c>
      <c r="B132" s="38"/>
      <c r="C132" s="32">
        <f t="shared" ref="C132:C137" si="14">C114+C123</f>
        <v>5530.9611961196115</v>
      </c>
      <c r="E132" s="31" t="s">
        <v>51</v>
      </c>
      <c r="F132" s="34"/>
      <c r="G132" s="32">
        <f t="shared" ref="G132:I137" si="15">G114+G123</f>
        <v>5982.8458889694612</v>
      </c>
      <c r="H132" s="32">
        <f t="shared" si="15"/>
        <v>5936.4882205406147</v>
      </c>
      <c r="I132" s="32">
        <f t="shared" si="15"/>
        <v>5890.1305521117683</v>
      </c>
    </row>
    <row r="133" spans="1:9" ht="12.75" x14ac:dyDescent="0.2">
      <c r="A133" s="31" t="s">
        <v>52</v>
      </c>
      <c r="B133" s="38"/>
      <c r="C133" s="32">
        <f t="shared" si="14"/>
        <v>6897.5824982498243</v>
      </c>
      <c r="E133" s="31" t="s">
        <v>52</v>
      </c>
      <c r="F133" s="34"/>
      <c r="G133" s="32">
        <f t="shared" si="15"/>
        <v>7456.1304816795</v>
      </c>
      <c r="H133" s="32">
        <f t="shared" si="15"/>
        <v>7398.5559318570185</v>
      </c>
      <c r="I133" s="32">
        <f t="shared" si="15"/>
        <v>7340.9813820345371</v>
      </c>
    </row>
    <row r="134" spans="1:9" ht="12.75" x14ac:dyDescent="0.2">
      <c r="A134" s="31" t="s">
        <v>53</v>
      </c>
      <c r="B134" s="38"/>
      <c r="C134" s="32">
        <f t="shared" si="14"/>
        <v>9761.6801653443581</v>
      </c>
      <c r="E134" s="31" t="s">
        <v>53</v>
      </c>
      <c r="F134" s="34"/>
      <c r="G134" s="32">
        <f t="shared" si="15"/>
        <v>10544.313898604272</v>
      </c>
      <c r="H134" s="32">
        <f t="shared" si="15"/>
        <v>10463.205582338434</v>
      </c>
      <c r="I134" s="32">
        <f t="shared" si="15"/>
        <v>10382.097266072597</v>
      </c>
    </row>
    <row r="135" spans="1:9" ht="12.75" x14ac:dyDescent="0.2">
      <c r="A135" s="31" t="s">
        <v>54</v>
      </c>
      <c r="B135" s="38"/>
      <c r="C135" s="32">
        <f t="shared" si="14"/>
        <v>12518.470378815153</v>
      </c>
      <c r="E135" s="31" t="s">
        <v>54</v>
      </c>
      <c r="F135" s="34"/>
      <c r="G135" s="32">
        <f t="shared" si="15"/>
        <v>13513.159855641719</v>
      </c>
      <c r="H135" s="32">
        <f t="shared" si="15"/>
        <v>13409.572394293424</v>
      </c>
      <c r="I135" s="32">
        <f t="shared" si="15"/>
        <v>13305.984932945128</v>
      </c>
    </row>
    <row r="136" spans="1:9" ht="12.75" x14ac:dyDescent="0.2">
      <c r="A136" s="31" t="s">
        <v>55</v>
      </c>
      <c r="B136" s="38"/>
      <c r="C136" s="32">
        <f t="shared" si="14"/>
        <v>14847.252426097042</v>
      </c>
      <c r="E136" s="31" t="s">
        <v>55</v>
      </c>
      <c r="F136" s="34"/>
      <c r="G136" s="32">
        <f t="shared" si="15"/>
        <v>16010.478435063882</v>
      </c>
      <c r="H136" s="32">
        <f t="shared" si="15"/>
        <v>15888.405948297039</v>
      </c>
      <c r="I136" s="32">
        <f t="shared" si="15"/>
        <v>15766.333461530194</v>
      </c>
    </row>
    <row r="137" spans="1:9" ht="12.75" x14ac:dyDescent="0.2">
      <c r="A137" s="31" t="s">
        <v>59</v>
      </c>
      <c r="B137" s="38"/>
      <c r="C137" s="32">
        <f t="shared" si="14"/>
        <v>25428</v>
      </c>
      <c r="E137" s="31" t="s">
        <v>59</v>
      </c>
      <c r="F137" s="34"/>
      <c r="G137" s="32">
        <f t="shared" si="15"/>
        <v>27340.555826420543</v>
      </c>
      <c r="H137" s="32">
        <f t="shared" si="15"/>
        <v>27135.277913210273</v>
      </c>
      <c r="I137" s="32">
        <f t="shared" si="15"/>
        <v>26930</v>
      </c>
    </row>
    <row r="138" spans="1:9" ht="12.75" x14ac:dyDescent="0.2">
      <c r="B138" s="38"/>
      <c r="C138" s="38"/>
      <c r="F138" s="34"/>
      <c r="G138" s="45"/>
      <c r="H138" s="45"/>
      <c r="I138" s="56"/>
    </row>
    <row r="139" spans="1:9" ht="12.75" x14ac:dyDescent="0.2">
      <c r="A139" s="21" t="s">
        <v>60</v>
      </c>
      <c r="B139" s="38"/>
      <c r="C139" s="62" t="str">
        <f>+C112</f>
        <v>2010 ACS</v>
      </c>
      <c r="D139" s="31" t="s">
        <v>214</v>
      </c>
      <c r="F139" s="34"/>
      <c r="G139" s="45"/>
      <c r="H139" s="45"/>
      <c r="I139" s="56"/>
    </row>
    <row r="140" spans="1:9" ht="12.75" x14ac:dyDescent="0.2">
      <c r="A140" s="21" t="s">
        <v>49</v>
      </c>
      <c r="B140" s="38"/>
      <c r="C140" s="62"/>
      <c r="F140" s="34"/>
      <c r="G140" s="45"/>
      <c r="H140" s="45"/>
      <c r="I140" s="56"/>
    </row>
    <row r="141" spans="1:9" ht="12.75" x14ac:dyDescent="0.2">
      <c r="A141" s="31" t="s">
        <v>50</v>
      </c>
      <c r="B141" s="38"/>
      <c r="C141" s="38">
        <f>C113/C119</f>
        <v>7.7989058795905772E-2</v>
      </c>
      <c r="D141" s="38">
        <v>7.5480769230769226E-2</v>
      </c>
      <c r="E141" s="43">
        <f>+C141-D141</f>
        <v>2.5082895651365456E-3</v>
      </c>
      <c r="F141" s="34"/>
      <c r="G141" s="45"/>
      <c r="H141" s="45"/>
      <c r="I141" s="56"/>
    </row>
    <row r="142" spans="1:9" ht="12.75" x14ac:dyDescent="0.2">
      <c r="A142" s="31" t="s">
        <v>51</v>
      </c>
      <c r="B142" s="38"/>
      <c r="C142" s="38">
        <f>C114/C119</f>
        <v>0.15794547850914389</v>
      </c>
      <c r="D142" s="38">
        <v>0.17614182692307692</v>
      </c>
      <c r="E142" s="43">
        <f t="shared" ref="E142:E147" si="16">+C142-D142</f>
        <v>-1.8196348413933028E-2</v>
      </c>
      <c r="F142" s="34"/>
      <c r="G142" s="45"/>
      <c r="H142" s="45"/>
      <c r="I142" s="56"/>
    </row>
    <row r="143" spans="1:9" ht="12.75" x14ac:dyDescent="0.2">
      <c r="A143" s="31" t="s">
        <v>52</v>
      </c>
      <c r="B143" s="38"/>
      <c r="C143" s="38">
        <f>C115/C119</f>
        <v>0.20525862242390594</v>
      </c>
      <c r="D143" s="38">
        <v>0.24086538461538462</v>
      </c>
      <c r="E143" s="43">
        <f t="shared" si="16"/>
        <v>-3.560676219147868E-2</v>
      </c>
      <c r="F143" s="34"/>
      <c r="G143" s="45"/>
      <c r="H143" s="45"/>
      <c r="I143" s="56"/>
    </row>
    <row r="144" spans="1:9" ht="12.75" x14ac:dyDescent="0.2">
      <c r="A144" s="31" t="s">
        <v>53</v>
      </c>
      <c r="B144" s="38"/>
      <c r="C144" s="38">
        <f>C116/C119</f>
        <v>0.3035084660025994</v>
      </c>
      <c r="D144" s="38">
        <v>0.37241586538461541</v>
      </c>
      <c r="E144" s="43">
        <f t="shared" si="16"/>
        <v>-6.890739938201601E-2</v>
      </c>
      <c r="F144" s="34"/>
      <c r="G144" s="45"/>
      <c r="H144" s="45"/>
      <c r="I144" s="56"/>
    </row>
    <row r="145" spans="1:9" ht="12.75" x14ac:dyDescent="0.2">
      <c r="A145" s="31" t="s">
        <v>54</v>
      </c>
      <c r="B145" s="38"/>
      <c r="C145" s="38">
        <f>C117/C119</f>
        <v>0.40411174404563172</v>
      </c>
      <c r="D145" s="38">
        <v>0.50432692307692306</v>
      </c>
      <c r="E145" s="43">
        <f t="shared" si="16"/>
        <v>-0.10021517903129135</v>
      </c>
      <c r="F145" s="34"/>
      <c r="G145" s="45"/>
      <c r="H145" s="45"/>
      <c r="I145" s="56"/>
    </row>
    <row r="146" spans="1:9" ht="12.75" x14ac:dyDescent="0.2">
      <c r="A146" s="31" t="s">
        <v>55</v>
      </c>
      <c r="B146" s="38"/>
      <c r="C146" s="38">
        <f>C118/C119</f>
        <v>0.50669007818579159</v>
      </c>
      <c r="D146" s="38">
        <v>0.61045673076923079</v>
      </c>
      <c r="E146" s="43">
        <f t="shared" si="16"/>
        <v>-0.1037666525834392</v>
      </c>
      <c r="F146" s="34"/>
      <c r="G146" s="45"/>
      <c r="H146" s="45"/>
      <c r="I146" s="56"/>
    </row>
    <row r="147" spans="1:9" ht="12.75" x14ac:dyDescent="0.2">
      <c r="A147" s="31" t="s">
        <v>56</v>
      </c>
      <c r="B147" s="38"/>
      <c r="C147" s="38">
        <f>C119/C119</f>
        <v>1</v>
      </c>
      <c r="D147" s="38">
        <v>1</v>
      </c>
      <c r="E147" s="43">
        <f t="shared" si="16"/>
        <v>0</v>
      </c>
      <c r="F147" s="34"/>
      <c r="G147" s="45"/>
      <c r="H147" s="45"/>
      <c r="I147" s="56"/>
    </row>
    <row r="148" spans="1:9" ht="12.75" x14ac:dyDescent="0.2">
      <c r="B148" s="38"/>
      <c r="C148" s="38"/>
      <c r="D148" s="38"/>
      <c r="F148" s="34"/>
      <c r="G148" s="45"/>
      <c r="H148" s="45"/>
      <c r="I148" s="56"/>
    </row>
    <row r="149" spans="1:9" ht="12.75" x14ac:dyDescent="0.2">
      <c r="A149" s="21" t="s">
        <v>0</v>
      </c>
      <c r="B149" s="38"/>
      <c r="C149" s="38"/>
      <c r="D149" s="38"/>
      <c r="F149" s="34"/>
      <c r="G149" s="45"/>
      <c r="H149" s="45"/>
      <c r="I149" s="56"/>
    </row>
    <row r="150" spans="1:9" ht="12.75" x14ac:dyDescent="0.2">
      <c r="A150" s="31" t="s">
        <v>50</v>
      </c>
      <c r="B150" s="38"/>
      <c r="C150" s="38">
        <f>C122/C128</f>
        <v>0.2306380876175235</v>
      </c>
      <c r="D150" s="38">
        <v>0.24041931603368277</v>
      </c>
      <c r="E150" s="43">
        <f t="shared" ref="E150:E165" si="17">+C150-D150</f>
        <v>-9.7812284161592766E-3</v>
      </c>
      <c r="F150" s="34"/>
      <c r="G150" s="45"/>
      <c r="H150" s="45"/>
      <c r="I150" s="56"/>
    </row>
    <row r="151" spans="1:9" ht="12.75" x14ac:dyDescent="0.2">
      <c r="A151" s="31" t="s">
        <v>51</v>
      </c>
      <c r="B151" s="38"/>
      <c r="C151" s="38">
        <f>C123/C128</f>
        <v>0.41039940660732738</v>
      </c>
      <c r="D151" s="38">
        <v>0.44921807870768171</v>
      </c>
      <c r="E151" s="43">
        <f t="shared" si="17"/>
        <v>-3.8818672100354334E-2</v>
      </c>
      <c r="F151" s="34"/>
      <c r="G151" s="45"/>
      <c r="H151" s="45"/>
      <c r="I151" s="56"/>
    </row>
    <row r="152" spans="1:9" ht="12.75" x14ac:dyDescent="0.2">
      <c r="A152" s="31" t="s">
        <v>52</v>
      </c>
      <c r="B152" s="38"/>
      <c r="C152" s="38">
        <f>C124/C128</f>
        <v>0.4849696636330299</v>
      </c>
      <c r="D152" s="38">
        <v>0.54133012545110848</v>
      </c>
      <c r="E152" s="43">
        <f t="shared" si="17"/>
        <v>-5.6360461818078578E-2</v>
      </c>
      <c r="F152" s="34"/>
      <c r="G152" s="45"/>
      <c r="H152" s="45"/>
      <c r="I152" s="56"/>
    </row>
    <row r="153" spans="1:9" ht="12.75" x14ac:dyDescent="0.2">
      <c r="A153" s="31" t="s">
        <v>53</v>
      </c>
      <c r="B153" s="38"/>
      <c r="C153" s="38">
        <f>C125/C128</f>
        <v>0.64418628130764277</v>
      </c>
      <c r="D153" s="38">
        <v>0.68894999140745827</v>
      </c>
      <c r="E153" s="43">
        <f t="shared" si="17"/>
        <v>-4.4763710099815501E-2</v>
      </c>
      <c r="F153" s="34"/>
      <c r="G153" s="45"/>
      <c r="H153" s="45"/>
      <c r="I153" s="56"/>
    </row>
    <row r="154" spans="1:9" ht="12.75" x14ac:dyDescent="0.2">
      <c r="A154" s="31" t="s">
        <v>54</v>
      </c>
      <c r="B154" s="38"/>
      <c r="C154" s="38">
        <f>C126/C128</f>
        <v>0.77789790258276992</v>
      </c>
      <c r="D154" s="38">
        <v>0.80134043650111708</v>
      </c>
      <c r="E154" s="43">
        <f t="shared" si="17"/>
        <v>-2.3442533918347164E-2</v>
      </c>
      <c r="F154" s="34"/>
      <c r="G154" s="45"/>
      <c r="H154" s="45"/>
      <c r="I154" s="56"/>
    </row>
    <row r="155" spans="1:9" ht="12.75" x14ac:dyDescent="0.2">
      <c r="A155" s="31" t="s">
        <v>55</v>
      </c>
      <c r="B155" s="38"/>
      <c r="C155" s="38">
        <f>C127/C128</f>
        <v>0.83387959785058063</v>
      </c>
      <c r="D155" s="38">
        <v>0.85375494071146241</v>
      </c>
      <c r="E155" s="43">
        <f t="shared" si="17"/>
        <v>-1.9875342860881773E-2</v>
      </c>
      <c r="F155" s="34"/>
      <c r="G155" s="45"/>
      <c r="H155" s="45"/>
      <c r="I155" s="56"/>
    </row>
    <row r="156" spans="1:9" ht="12.75" x14ac:dyDescent="0.2">
      <c r="A156" s="31" t="s">
        <v>57</v>
      </c>
      <c r="B156" s="38"/>
      <c r="C156" s="38">
        <f>C128/C128</f>
        <v>1</v>
      </c>
      <c r="D156" s="38">
        <v>1</v>
      </c>
      <c r="E156" s="43">
        <f t="shared" si="17"/>
        <v>0</v>
      </c>
      <c r="F156" s="34"/>
      <c r="G156" s="45"/>
      <c r="H156" s="45"/>
      <c r="I156" s="56"/>
    </row>
    <row r="157" spans="1:9" ht="12.75" x14ac:dyDescent="0.2">
      <c r="B157" s="38"/>
      <c r="C157" s="38"/>
      <c r="D157" s="38"/>
      <c r="E157" s="43"/>
      <c r="F157" s="34"/>
      <c r="G157" s="45"/>
      <c r="H157" s="45"/>
      <c r="I157" s="56"/>
    </row>
    <row r="158" spans="1:9" ht="12.75" x14ac:dyDescent="0.2">
      <c r="A158" s="21" t="s">
        <v>58</v>
      </c>
      <c r="B158" s="38"/>
      <c r="C158" s="38"/>
      <c r="D158" s="38"/>
      <c r="E158" s="43"/>
      <c r="F158" s="34"/>
      <c r="G158" s="45"/>
      <c r="H158" s="45"/>
      <c r="I158" s="56"/>
    </row>
    <row r="159" spans="1:9" ht="12.75" x14ac:dyDescent="0.2">
      <c r="A159" s="31" t="s">
        <v>50</v>
      </c>
      <c r="B159" s="38"/>
      <c r="C159" s="38">
        <f>C131/C137</f>
        <v>0.11400817838571647</v>
      </c>
      <c r="D159" s="38">
        <v>0.1182154147557772</v>
      </c>
      <c r="E159" s="43">
        <f t="shared" si="17"/>
        <v>-4.2072363700607213E-3</v>
      </c>
      <c r="F159" s="34"/>
      <c r="G159" s="45"/>
      <c r="H159" s="45"/>
      <c r="I159" s="56"/>
    </row>
    <row r="160" spans="1:9" ht="12.75" x14ac:dyDescent="0.2">
      <c r="A160" s="31" t="s">
        <v>51</v>
      </c>
      <c r="B160" s="38"/>
      <c r="C160" s="38">
        <f>C132/C137</f>
        <v>0.21751459792825278</v>
      </c>
      <c r="D160" s="38">
        <v>0.24689434079878891</v>
      </c>
      <c r="E160" s="43">
        <f t="shared" si="17"/>
        <v>-2.937974287053613E-2</v>
      </c>
      <c r="F160" s="34"/>
      <c r="G160" s="45"/>
      <c r="H160" s="45"/>
      <c r="I160" s="56"/>
    </row>
    <row r="161" spans="1:9" ht="12.75" x14ac:dyDescent="0.2">
      <c r="A161" s="31" t="s">
        <v>52</v>
      </c>
      <c r="B161" s="38"/>
      <c r="C161" s="38">
        <f>C133/C137</f>
        <v>0.27125934002870161</v>
      </c>
      <c r="D161" s="38">
        <v>0.31871410125116878</v>
      </c>
      <c r="E161" s="43">
        <f t="shared" si="17"/>
        <v>-4.7454761222467168E-2</v>
      </c>
      <c r="F161" s="34"/>
      <c r="G161" s="45"/>
      <c r="H161" s="45"/>
      <c r="I161" s="56"/>
    </row>
    <row r="162" spans="1:9" ht="12.75" x14ac:dyDescent="0.2">
      <c r="A162" s="31" t="s">
        <v>53</v>
      </c>
      <c r="B162" s="38"/>
      <c r="C162" s="38">
        <f>C134/C137</f>
        <v>0.38389492548939586</v>
      </c>
      <c r="D162" s="38">
        <v>0.45442806892559778</v>
      </c>
      <c r="E162" s="43">
        <f t="shared" si="17"/>
        <v>-7.0533143436201928E-2</v>
      </c>
      <c r="F162" s="34"/>
      <c r="G162" s="45"/>
      <c r="H162" s="45"/>
      <c r="I162" s="56"/>
    </row>
    <row r="163" spans="1:9" ht="12.75" x14ac:dyDescent="0.2">
      <c r="A163" s="31" t="s">
        <v>54</v>
      </c>
      <c r="B163" s="38"/>
      <c r="C163" s="38">
        <f>C135/C137</f>
        <v>0.49231046007610324</v>
      </c>
      <c r="D163" s="38">
        <v>0.58128144619083666</v>
      </c>
      <c r="E163" s="43">
        <f t="shared" si="17"/>
        <v>-8.8970986114733419E-2</v>
      </c>
      <c r="F163" s="34"/>
      <c r="G163" s="45"/>
      <c r="H163" s="45"/>
      <c r="I163" s="56"/>
    </row>
    <row r="164" spans="1:9" ht="12.75" x14ac:dyDescent="0.2">
      <c r="A164" s="31" t="s">
        <v>55</v>
      </c>
      <c r="B164" s="38"/>
      <c r="C164" s="38">
        <f>C136/C137</f>
        <v>0.58389383459560495</v>
      </c>
      <c r="D164" s="38">
        <v>0.67349392225833737</v>
      </c>
      <c r="E164" s="43">
        <f t="shared" si="17"/>
        <v>-8.9600087662732419E-2</v>
      </c>
      <c r="F164" s="34"/>
      <c r="G164" s="45"/>
      <c r="H164" s="45"/>
      <c r="I164" s="56"/>
    </row>
    <row r="165" spans="1:9" ht="12.75" x14ac:dyDescent="0.2">
      <c r="A165" s="31" t="s">
        <v>59</v>
      </c>
      <c r="B165" s="38"/>
      <c r="C165" s="38">
        <f>C137/C137</f>
        <v>1</v>
      </c>
      <c r="D165" s="38">
        <v>1</v>
      </c>
      <c r="E165" s="43">
        <f t="shared" si="17"/>
        <v>0</v>
      </c>
      <c r="F165" s="34"/>
      <c r="G165" s="45"/>
      <c r="H165" s="45"/>
      <c r="I165" s="56"/>
    </row>
    <row r="166" spans="1:9" ht="12.75" x14ac:dyDescent="0.2">
      <c r="B166" s="38"/>
      <c r="C166" s="38"/>
      <c r="F166" s="34"/>
      <c r="G166" s="45"/>
      <c r="H166" s="45"/>
      <c r="I166" s="56"/>
    </row>
    <row r="167" spans="1:9" s="1" customFormat="1" ht="15" x14ac:dyDescent="0.25">
      <c r="A167" s="31"/>
      <c r="B167" s="31"/>
      <c r="C167" s="31"/>
      <c r="D167" s="31"/>
      <c r="E167" s="31"/>
      <c r="F167" s="31"/>
      <c r="G167" s="31"/>
      <c r="H167" s="31"/>
      <c r="I167" s="31"/>
    </row>
    <row r="168" spans="1:9" s="1" customFormat="1" ht="15" x14ac:dyDescent="0.25">
      <c r="A168" s="31"/>
      <c r="B168" s="31"/>
      <c r="C168" s="31"/>
      <c r="D168" s="31"/>
      <c r="E168" s="31"/>
      <c r="F168" s="31"/>
      <c r="G168" s="31"/>
      <c r="H168" s="31"/>
      <c r="I168" s="31"/>
    </row>
    <row r="169" spans="1:9" s="1" customFormat="1" ht="15" x14ac:dyDescent="0.25">
      <c r="A169" s="31"/>
      <c r="B169" s="31"/>
      <c r="C169" s="31"/>
      <c r="D169" s="31"/>
      <c r="E169" s="31"/>
      <c r="F169" s="31"/>
      <c r="G169" s="31"/>
      <c r="H169" s="31"/>
      <c r="I169" s="31"/>
    </row>
    <row r="170" spans="1:9" s="1" customFormat="1" ht="15" x14ac:dyDescent="0.25">
      <c r="A170" s="31"/>
      <c r="B170" s="31"/>
      <c r="C170" s="31"/>
      <c r="D170" s="31"/>
      <c r="E170" s="31"/>
      <c r="F170" s="31"/>
      <c r="G170" s="31"/>
      <c r="H170" s="31"/>
      <c r="I170" s="31"/>
    </row>
    <row r="171" spans="1:9" s="1" customFormat="1" ht="15" x14ac:dyDescent="0.25">
      <c r="A171" s="31"/>
      <c r="B171" s="31"/>
      <c r="C171" s="31"/>
      <c r="D171" s="31"/>
      <c r="E171" s="31"/>
      <c r="F171" s="31"/>
      <c r="G171" s="31"/>
      <c r="H171" s="31"/>
      <c r="I171" s="31"/>
    </row>
    <row r="172" spans="1:9" s="1" customFormat="1" ht="15" x14ac:dyDescent="0.25">
      <c r="A172" s="31"/>
      <c r="B172" s="31"/>
      <c r="C172" s="31"/>
      <c r="D172" s="31"/>
      <c r="E172" s="31"/>
      <c r="F172" s="31"/>
      <c r="G172" s="31"/>
      <c r="H172" s="31"/>
      <c r="I172" s="31"/>
    </row>
    <row r="173" spans="1:9" s="1" customFormat="1" ht="15" x14ac:dyDescent="0.25">
      <c r="A173" s="31"/>
      <c r="B173" s="31"/>
      <c r="C173" s="31"/>
      <c r="D173" s="31"/>
      <c r="E173" s="31"/>
      <c r="F173" s="31"/>
      <c r="G173" s="31"/>
      <c r="H173" s="31"/>
      <c r="I173" s="31"/>
    </row>
    <row r="174" spans="1:9" s="1" customFormat="1" ht="15" x14ac:dyDescent="0.25">
      <c r="A174" s="31"/>
      <c r="B174" s="31"/>
      <c r="C174" s="31"/>
      <c r="D174" s="31"/>
      <c r="E174" s="31"/>
      <c r="F174" s="31"/>
      <c r="G174" s="31"/>
      <c r="H174" s="31"/>
      <c r="I174" s="31"/>
    </row>
    <row r="175" spans="1:9" s="1" customFormat="1" ht="15" x14ac:dyDescent="0.25">
      <c r="A175" s="31"/>
      <c r="B175" s="31"/>
      <c r="C175" s="31"/>
      <c r="D175" s="31"/>
      <c r="E175" s="31"/>
      <c r="F175" s="31"/>
      <c r="G175" s="31"/>
      <c r="H175" s="31"/>
      <c r="I175" s="31"/>
    </row>
    <row r="176" spans="1:9" s="1" customFormat="1" ht="15" x14ac:dyDescent="0.25">
      <c r="A176" s="31"/>
      <c r="B176" s="31"/>
      <c r="C176" s="31"/>
      <c r="D176" s="31"/>
      <c r="E176" s="31"/>
      <c r="F176" s="31"/>
      <c r="G176" s="31"/>
      <c r="H176" s="31"/>
      <c r="I176" s="31"/>
    </row>
    <row r="177" spans="1:9" s="1" customFormat="1" ht="15" x14ac:dyDescent="0.25">
      <c r="A177" s="31"/>
      <c r="B177" s="31"/>
      <c r="C177" s="31"/>
      <c r="D177" s="31"/>
      <c r="E177" s="31"/>
      <c r="F177" s="31"/>
      <c r="G177" s="31"/>
      <c r="H177" s="31"/>
      <c r="I177" s="31"/>
    </row>
    <row r="178" spans="1:9" s="1" customFormat="1" ht="15" x14ac:dyDescent="0.25">
      <c r="A178" s="31"/>
      <c r="B178" s="31"/>
      <c r="C178" s="31"/>
      <c r="D178" s="31"/>
      <c r="E178" s="31"/>
      <c r="F178" s="31"/>
      <c r="G178" s="31"/>
      <c r="H178" s="31"/>
      <c r="I178" s="31"/>
    </row>
    <row r="179" spans="1:9" s="1" customFormat="1" ht="15" x14ac:dyDescent="0.25">
      <c r="A179" s="31"/>
      <c r="B179" s="31"/>
      <c r="C179" s="31"/>
      <c r="D179" s="31"/>
      <c r="E179" s="31"/>
      <c r="F179" s="31"/>
      <c r="G179" s="31"/>
      <c r="H179" s="31"/>
      <c r="I179" s="31"/>
    </row>
    <row r="180" spans="1:9" s="1" customFormat="1" ht="15" x14ac:dyDescent="0.25">
      <c r="A180" s="31"/>
      <c r="B180" s="31"/>
      <c r="C180" s="31"/>
      <c r="D180" s="31"/>
      <c r="E180" s="31"/>
      <c r="F180" s="31"/>
      <c r="G180" s="31"/>
      <c r="H180" s="31"/>
      <c r="I180" s="31"/>
    </row>
    <row r="181" spans="1:9" s="1" customFormat="1" ht="15" x14ac:dyDescent="0.25">
      <c r="A181" s="31"/>
      <c r="B181" s="31"/>
      <c r="C181" s="31"/>
      <c r="D181" s="31"/>
      <c r="E181" s="31"/>
      <c r="F181" s="31"/>
      <c r="G181" s="31"/>
      <c r="H181" s="31"/>
      <c r="I181" s="31"/>
    </row>
    <row r="182" spans="1:9" s="1" customFormat="1" ht="15" x14ac:dyDescent="0.25">
      <c r="A182" s="31"/>
      <c r="B182" s="31"/>
      <c r="C182" s="31"/>
      <c r="D182" s="31"/>
      <c r="E182" s="31"/>
      <c r="F182" s="31"/>
      <c r="G182" s="31"/>
      <c r="H182" s="31"/>
      <c r="I182" s="31"/>
    </row>
    <row r="183" spans="1:9" s="1" customFormat="1" ht="15" x14ac:dyDescent="0.25">
      <c r="A183" s="31"/>
      <c r="B183" s="31"/>
      <c r="C183" s="31"/>
      <c r="D183" s="31"/>
      <c r="E183" s="31"/>
      <c r="F183" s="31"/>
      <c r="G183" s="31"/>
      <c r="H183" s="31"/>
      <c r="I183" s="31"/>
    </row>
    <row r="184" spans="1:9" s="1" customFormat="1" ht="15" x14ac:dyDescent="0.25">
      <c r="A184" s="31"/>
      <c r="B184" s="31"/>
      <c r="C184" s="31"/>
      <c r="D184" s="31"/>
      <c r="E184" s="31"/>
      <c r="F184" s="31"/>
      <c r="G184" s="31"/>
      <c r="H184" s="31"/>
      <c r="I184" s="31"/>
    </row>
    <row r="185" spans="1:9" s="1" customFormat="1" ht="15" x14ac:dyDescent="0.25">
      <c r="A185" s="31"/>
      <c r="B185" s="31"/>
      <c r="C185" s="31"/>
      <c r="D185" s="31"/>
      <c r="E185" s="31"/>
      <c r="F185" s="31"/>
      <c r="G185" s="31"/>
      <c r="H185" s="31"/>
      <c r="I185" s="31"/>
    </row>
    <row r="186" spans="1:9" s="1" customFormat="1" ht="15" x14ac:dyDescent="0.25">
      <c r="A186" s="31"/>
      <c r="B186" s="31"/>
      <c r="C186" s="31"/>
      <c r="D186" s="31"/>
      <c r="E186" s="31"/>
      <c r="F186" s="31"/>
      <c r="G186" s="31"/>
      <c r="H186" s="31"/>
      <c r="I186" s="31"/>
    </row>
    <row r="187" spans="1:9" s="1" customFormat="1" ht="15" x14ac:dyDescent="0.25">
      <c r="A187" s="31"/>
      <c r="B187" s="31"/>
      <c r="C187" s="31"/>
      <c r="D187" s="31"/>
      <c r="E187" s="31"/>
      <c r="F187" s="31"/>
      <c r="G187" s="31"/>
      <c r="H187" s="31"/>
      <c r="I187" s="31"/>
    </row>
    <row r="188" spans="1:9" s="1" customFormat="1" ht="15" x14ac:dyDescent="0.25">
      <c r="A188" s="31"/>
      <c r="B188" s="31"/>
      <c r="C188" s="31"/>
      <c r="D188" s="31"/>
      <c r="E188" s="31"/>
      <c r="F188" s="31"/>
      <c r="G188" s="31"/>
      <c r="H188" s="31"/>
      <c r="I188" s="31"/>
    </row>
    <row r="189" spans="1:9" s="1" customFormat="1" ht="15" x14ac:dyDescent="0.25">
      <c r="A189" s="31"/>
      <c r="B189" s="31"/>
      <c r="C189" s="31"/>
      <c r="D189" s="31"/>
      <c r="E189" s="31"/>
      <c r="F189" s="31"/>
      <c r="G189" s="31"/>
      <c r="H189" s="31"/>
      <c r="I189" s="31"/>
    </row>
    <row r="190" spans="1:9" s="1" customFormat="1" ht="15" x14ac:dyDescent="0.25">
      <c r="A190" s="31"/>
      <c r="B190" s="31"/>
      <c r="C190" s="31"/>
      <c r="D190" s="31"/>
      <c r="E190" s="31"/>
      <c r="F190" s="31"/>
      <c r="G190" s="31"/>
      <c r="H190" s="31"/>
      <c r="I190" s="31"/>
    </row>
    <row r="191" spans="1:9" s="1" customFormat="1" ht="15" x14ac:dyDescent="0.25">
      <c r="A191" s="31"/>
      <c r="B191" s="31"/>
      <c r="C191" s="31"/>
      <c r="D191" s="31"/>
      <c r="E191" s="31"/>
      <c r="F191" s="31"/>
      <c r="G191" s="31"/>
      <c r="H191" s="31"/>
      <c r="I191" s="31"/>
    </row>
    <row r="192" spans="1:9" s="1" customFormat="1" ht="15" x14ac:dyDescent="0.25">
      <c r="A192" s="31"/>
      <c r="B192" s="31"/>
      <c r="C192" s="31"/>
      <c r="D192" s="31"/>
      <c r="E192" s="31"/>
      <c r="F192" s="31"/>
      <c r="G192" s="31"/>
      <c r="H192" s="31"/>
      <c r="I192" s="31"/>
    </row>
    <row r="193" spans="1:9" s="1" customFormat="1" ht="15" x14ac:dyDescent="0.25">
      <c r="A193" s="31"/>
      <c r="B193" s="31"/>
      <c r="C193" s="31"/>
      <c r="D193" s="31"/>
      <c r="E193" s="31"/>
      <c r="F193" s="31"/>
      <c r="G193" s="31"/>
      <c r="H193" s="31"/>
      <c r="I193" s="31"/>
    </row>
    <row r="194" spans="1:9" s="1" customFormat="1" ht="15" x14ac:dyDescent="0.25">
      <c r="A194" s="31"/>
      <c r="B194" s="31"/>
      <c r="C194" s="31"/>
      <c r="D194" s="31"/>
      <c r="E194" s="31"/>
      <c r="F194" s="31"/>
      <c r="G194" s="31"/>
      <c r="H194" s="31"/>
      <c r="I194" s="31"/>
    </row>
    <row r="195" spans="1:9" s="1" customFormat="1" ht="15" x14ac:dyDescent="0.25">
      <c r="A195" s="31"/>
      <c r="B195" s="31"/>
      <c r="C195" s="31"/>
      <c r="D195" s="31"/>
      <c r="E195" s="31"/>
      <c r="F195" s="31"/>
      <c r="G195" s="31"/>
      <c r="H195" s="31"/>
      <c r="I195" s="31"/>
    </row>
    <row r="196" spans="1:9" s="1" customFormat="1" ht="15" x14ac:dyDescent="0.25">
      <c r="A196" s="31"/>
      <c r="B196" s="31"/>
      <c r="C196" s="31"/>
      <c r="D196" s="31"/>
      <c r="E196" s="31"/>
      <c r="F196" s="31"/>
      <c r="G196" s="31"/>
      <c r="H196" s="31"/>
      <c r="I196" s="31"/>
    </row>
    <row r="197" spans="1:9" s="1" customFormat="1" ht="15" x14ac:dyDescent="0.25">
      <c r="A197" s="31"/>
      <c r="B197" s="31"/>
      <c r="C197" s="31"/>
      <c r="D197" s="31"/>
      <c r="E197" s="31"/>
      <c r="F197" s="31"/>
      <c r="G197" s="31"/>
      <c r="H197" s="31"/>
      <c r="I197" s="31"/>
    </row>
    <row r="198" spans="1:9" s="1" customFormat="1" ht="15" x14ac:dyDescent="0.25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9" s="1" customFormat="1" ht="15" x14ac:dyDescent="0.25">
      <c r="A199" s="31"/>
      <c r="B199" s="31"/>
      <c r="C199" s="31"/>
      <c r="D199" s="31"/>
      <c r="E199" s="31"/>
      <c r="F199" s="31"/>
      <c r="G199" s="31"/>
      <c r="H199" s="31"/>
      <c r="I199" s="31"/>
    </row>
    <row r="200" spans="1:9" s="1" customFormat="1" ht="15" x14ac:dyDescent="0.25">
      <c r="A200" s="31"/>
      <c r="B200" s="31"/>
      <c r="C200" s="31"/>
      <c r="D200" s="31"/>
      <c r="E200" s="31"/>
      <c r="F200" s="31"/>
      <c r="G200" s="31"/>
      <c r="H200" s="31"/>
      <c r="I200" s="31"/>
    </row>
    <row r="201" spans="1:9" s="1" customFormat="1" ht="15" x14ac:dyDescent="0.25">
      <c r="A201" s="31"/>
      <c r="B201" s="31"/>
      <c r="C201" s="31"/>
      <c r="D201" s="31"/>
      <c r="E201" s="31"/>
      <c r="F201" s="31"/>
      <c r="G201" s="31"/>
      <c r="H201" s="31"/>
      <c r="I201" s="31"/>
    </row>
    <row r="202" spans="1:9" s="1" customFormat="1" ht="15" x14ac:dyDescent="0.25">
      <c r="A202" s="31"/>
      <c r="B202" s="31"/>
      <c r="C202" s="31"/>
      <c r="D202" s="31"/>
      <c r="E202" s="31"/>
      <c r="F202" s="31"/>
      <c r="G202" s="31"/>
      <c r="H202" s="31"/>
      <c r="I202" s="31"/>
    </row>
    <row r="203" spans="1:9" s="1" customFormat="1" ht="15" x14ac:dyDescent="0.25">
      <c r="A203" s="31"/>
      <c r="B203" s="31"/>
      <c r="C203" s="31"/>
      <c r="D203" s="31"/>
      <c r="E203" s="31"/>
      <c r="F203" s="31"/>
      <c r="G203" s="31"/>
      <c r="H203" s="31"/>
      <c r="I203" s="31"/>
    </row>
    <row r="204" spans="1:9" s="1" customFormat="1" ht="15" x14ac:dyDescent="0.25">
      <c r="A204" s="31"/>
      <c r="B204" s="31"/>
      <c r="C204" s="31"/>
      <c r="D204" s="31"/>
      <c r="E204" s="31"/>
      <c r="F204" s="31"/>
      <c r="G204" s="31"/>
      <c r="H204" s="31"/>
      <c r="I204" s="31"/>
    </row>
    <row r="205" spans="1:9" s="1" customFormat="1" ht="15" x14ac:dyDescent="0.25">
      <c r="A205" s="31"/>
      <c r="B205" s="31"/>
      <c r="C205" s="31"/>
      <c r="D205" s="31"/>
      <c r="E205" s="31"/>
      <c r="F205" s="31"/>
      <c r="G205" s="31"/>
      <c r="H205" s="31"/>
      <c r="I205" s="31"/>
    </row>
    <row r="206" spans="1:9" s="1" customFormat="1" ht="15" x14ac:dyDescent="0.25">
      <c r="A206" s="31"/>
      <c r="B206" s="31"/>
      <c r="C206" s="31"/>
      <c r="D206" s="31"/>
      <c r="E206" s="31"/>
      <c r="F206" s="31"/>
      <c r="G206" s="31"/>
      <c r="H206" s="31"/>
      <c r="I206" s="31"/>
    </row>
    <row r="207" spans="1:9" s="1" customFormat="1" ht="15" x14ac:dyDescent="0.25">
      <c r="A207" s="31"/>
      <c r="B207" s="31"/>
      <c r="C207" s="31"/>
      <c r="D207" s="31"/>
      <c r="E207" s="31"/>
      <c r="F207" s="31"/>
      <c r="G207" s="31"/>
      <c r="H207" s="31"/>
      <c r="I207" s="31"/>
    </row>
    <row r="208" spans="1:9" s="1" customFormat="1" ht="15" x14ac:dyDescent="0.25">
      <c r="A208" s="31"/>
      <c r="B208" s="31"/>
      <c r="C208" s="31"/>
      <c r="D208" s="31"/>
      <c r="E208" s="31"/>
      <c r="F208" s="31"/>
      <c r="G208" s="31"/>
      <c r="H208" s="31"/>
      <c r="I208" s="31"/>
    </row>
    <row r="209" spans="1:9" s="1" customFormat="1" ht="15" x14ac:dyDescent="0.25">
      <c r="A209" s="31"/>
      <c r="B209" s="31"/>
      <c r="C209" s="31"/>
      <c r="D209" s="31"/>
      <c r="E209" s="31"/>
      <c r="F209" s="31"/>
      <c r="G209" s="31"/>
      <c r="H209" s="31"/>
      <c r="I209" s="31"/>
    </row>
    <row r="210" spans="1:9" s="1" customFormat="1" ht="15" x14ac:dyDescent="0.25">
      <c r="A210" s="31"/>
      <c r="B210" s="31"/>
      <c r="C210" s="31"/>
      <c r="D210" s="31"/>
      <c r="E210" s="31"/>
      <c r="F210" s="31"/>
      <c r="G210" s="31"/>
      <c r="H210" s="31"/>
      <c r="I210" s="31"/>
    </row>
    <row r="211" spans="1:9" s="1" customFormat="1" ht="15" x14ac:dyDescent="0.25">
      <c r="A211" s="31"/>
      <c r="B211" s="31"/>
      <c r="C211" s="31"/>
      <c r="D211" s="31"/>
      <c r="E211" s="31"/>
      <c r="F211" s="31"/>
      <c r="G211" s="31"/>
      <c r="H211" s="31"/>
      <c r="I211" s="31"/>
    </row>
    <row r="212" spans="1:9" s="1" customFormat="1" ht="15" x14ac:dyDescent="0.25">
      <c r="A212" s="31"/>
      <c r="B212" s="31"/>
      <c r="C212" s="31"/>
      <c r="D212" s="31"/>
      <c r="E212" s="31"/>
      <c r="F212" s="31"/>
      <c r="G212" s="31"/>
      <c r="H212" s="31"/>
      <c r="I212" s="31"/>
    </row>
    <row r="213" spans="1:9" s="1" customFormat="1" ht="15" x14ac:dyDescent="0.25">
      <c r="A213" s="31"/>
      <c r="B213" s="31"/>
      <c r="C213" s="31"/>
      <c r="D213" s="31"/>
      <c r="E213" s="31"/>
      <c r="F213" s="31"/>
      <c r="G213" s="31"/>
      <c r="H213" s="31"/>
      <c r="I213" s="31"/>
    </row>
    <row r="214" spans="1:9" s="1" customFormat="1" ht="15" x14ac:dyDescent="0.25">
      <c r="A214" s="31"/>
      <c r="B214" s="31"/>
      <c r="C214" s="31"/>
      <c r="D214" s="31"/>
      <c r="E214" s="31"/>
      <c r="F214" s="31"/>
      <c r="G214" s="31"/>
      <c r="H214" s="31"/>
      <c r="I214" s="31"/>
    </row>
    <row r="215" spans="1:9" s="1" customFormat="1" ht="15" x14ac:dyDescent="0.25">
      <c r="A215" s="31"/>
      <c r="B215" s="31"/>
      <c r="C215" s="31"/>
      <c r="D215" s="31"/>
      <c r="E215" s="31"/>
      <c r="F215" s="31"/>
      <c r="G215" s="31"/>
      <c r="H215" s="31"/>
      <c r="I215" s="31"/>
    </row>
    <row r="216" spans="1:9" s="1" customFormat="1" ht="15" x14ac:dyDescent="0.25">
      <c r="A216" s="31"/>
      <c r="B216" s="31"/>
      <c r="C216" s="31"/>
      <c r="D216" s="31"/>
      <c r="E216" s="31"/>
      <c r="F216" s="31"/>
      <c r="G216" s="31"/>
      <c r="H216" s="31"/>
      <c r="I216" s="31"/>
    </row>
    <row r="217" spans="1:9" s="1" customFormat="1" ht="15" x14ac:dyDescent="0.25">
      <c r="A217" s="31"/>
      <c r="B217" s="31"/>
      <c r="C217" s="31"/>
      <c r="D217" s="31"/>
      <c r="E217" s="31"/>
      <c r="F217" s="31"/>
      <c r="G217" s="31"/>
      <c r="H217" s="31"/>
      <c r="I217" s="31"/>
    </row>
    <row r="218" spans="1:9" s="1" customFormat="1" ht="15" x14ac:dyDescent="0.25">
      <c r="A218" s="31"/>
      <c r="B218" s="31"/>
      <c r="C218" s="31"/>
      <c r="D218" s="31"/>
      <c r="E218" s="31"/>
      <c r="F218" s="31"/>
      <c r="G218" s="31"/>
      <c r="H218" s="31"/>
      <c r="I218" s="31"/>
    </row>
    <row r="219" spans="1:9" s="1" customFormat="1" ht="15" x14ac:dyDescent="0.25">
      <c r="A219" s="31"/>
      <c r="B219" s="31"/>
      <c r="C219" s="31"/>
      <c r="D219" s="31"/>
      <c r="E219" s="31"/>
      <c r="F219" s="31"/>
      <c r="G219" s="31"/>
      <c r="H219" s="31"/>
      <c r="I219" s="31"/>
    </row>
    <row r="220" spans="1:9" s="1" customFormat="1" ht="15" x14ac:dyDescent="0.25">
      <c r="A220" s="31"/>
      <c r="B220" s="31"/>
      <c r="C220" s="31"/>
      <c r="D220" s="31"/>
      <c r="E220" s="31"/>
      <c r="F220" s="31"/>
      <c r="G220" s="31"/>
      <c r="H220" s="31"/>
      <c r="I220" s="31"/>
    </row>
    <row r="221" spans="1:9" s="1" customFormat="1" ht="15" x14ac:dyDescent="0.25">
      <c r="A221" s="31"/>
      <c r="B221" s="31"/>
      <c r="C221" s="31"/>
      <c r="D221" s="31"/>
      <c r="E221" s="31"/>
      <c r="F221" s="31"/>
      <c r="G221" s="31"/>
      <c r="H221" s="31"/>
      <c r="I221" s="31"/>
    </row>
    <row r="222" spans="1:9" s="1" customFormat="1" ht="15" x14ac:dyDescent="0.25">
      <c r="A222" s="31"/>
      <c r="B222" s="31"/>
      <c r="C222" s="31"/>
      <c r="D222" s="31"/>
      <c r="E222" s="31"/>
      <c r="F222" s="31"/>
      <c r="G222" s="31"/>
      <c r="H222" s="31"/>
      <c r="I222" s="31"/>
    </row>
    <row r="223" spans="1:9" s="1" customFormat="1" ht="15" x14ac:dyDescent="0.25">
      <c r="A223" s="31"/>
      <c r="B223" s="31"/>
      <c r="C223" s="31"/>
      <c r="D223" s="31"/>
      <c r="E223" s="31"/>
      <c r="F223" s="31"/>
      <c r="G223" s="31"/>
      <c r="H223" s="31"/>
      <c r="I223" s="31"/>
    </row>
    <row r="224" spans="1:9" s="1" customFormat="1" ht="15" x14ac:dyDescent="0.25">
      <c r="A224" s="31"/>
      <c r="B224" s="31"/>
      <c r="C224" s="31"/>
      <c r="D224" s="31"/>
      <c r="E224" s="31"/>
      <c r="F224" s="31"/>
      <c r="G224" s="31"/>
      <c r="H224" s="31"/>
      <c r="I224" s="31"/>
    </row>
    <row r="225" spans="1:9" s="1" customFormat="1" ht="15" x14ac:dyDescent="0.25">
      <c r="A225" s="31"/>
      <c r="B225" s="31"/>
      <c r="C225" s="31"/>
      <c r="D225" s="31"/>
      <c r="E225" s="31"/>
      <c r="F225" s="31"/>
      <c r="G225" s="31"/>
      <c r="H225" s="31"/>
      <c r="I225" s="31"/>
    </row>
    <row r="226" spans="1:9" s="1" customFormat="1" ht="15" x14ac:dyDescent="0.25">
      <c r="A226" s="31"/>
      <c r="B226" s="31"/>
      <c r="C226" s="31"/>
      <c r="D226" s="31"/>
      <c r="E226" s="31"/>
      <c r="F226" s="31"/>
      <c r="G226" s="31"/>
      <c r="H226" s="31"/>
      <c r="I226" s="31"/>
    </row>
    <row r="227" spans="1:9" s="1" customFormat="1" ht="15" x14ac:dyDescent="0.25">
      <c r="A227" s="31"/>
      <c r="B227" s="31"/>
      <c r="C227" s="31"/>
      <c r="D227" s="31"/>
      <c r="E227" s="31"/>
      <c r="F227" s="31"/>
      <c r="G227" s="31"/>
      <c r="H227" s="31"/>
      <c r="I227" s="31"/>
    </row>
    <row r="228" spans="1:9" s="1" customFormat="1" ht="15" x14ac:dyDescent="0.25">
      <c r="A228" s="31"/>
      <c r="B228" s="31"/>
      <c r="C228" s="31"/>
      <c r="D228" s="31"/>
      <c r="E228" s="31"/>
      <c r="F228" s="31"/>
      <c r="G228" s="31"/>
      <c r="H228" s="31"/>
      <c r="I228" s="31"/>
    </row>
    <row r="229" spans="1:9" s="1" customFormat="1" ht="15" x14ac:dyDescent="0.25">
      <c r="A229" s="31"/>
      <c r="B229" s="31"/>
      <c r="C229" s="31"/>
      <c r="D229" s="31"/>
      <c r="E229" s="31"/>
      <c r="F229" s="31"/>
      <c r="G229" s="31"/>
      <c r="H229" s="31"/>
      <c r="I229" s="31"/>
    </row>
    <row r="230" spans="1:9" s="1" customFormat="1" ht="15" x14ac:dyDescent="0.25">
      <c r="A230" s="31"/>
      <c r="B230" s="31"/>
      <c r="C230" s="31"/>
      <c r="D230" s="31"/>
      <c r="E230" s="31"/>
      <c r="F230" s="31"/>
      <c r="G230" s="31"/>
      <c r="H230" s="31"/>
      <c r="I230" s="31"/>
    </row>
    <row r="231" spans="1:9" s="1" customFormat="1" ht="15" x14ac:dyDescent="0.25">
      <c r="A231" s="31"/>
      <c r="B231" s="31"/>
      <c r="C231" s="31"/>
      <c r="D231" s="31"/>
      <c r="E231" s="31"/>
      <c r="F231" s="31"/>
      <c r="G231" s="31"/>
      <c r="H231" s="31"/>
      <c r="I231" s="31"/>
    </row>
    <row r="232" spans="1:9" s="1" customFormat="1" ht="15" x14ac:dyDescent="0.25">
      <c r="A232" s="31"/>
      <c r="B232" s="31"/>
      <c r="C232" s="31"/>
      <c r="D232" s="31"/>
      <c r="E232" s="31"/>
      <c r="F232" s="31"/>
      <c r="G232" s="31"/>
      <c r="H232" s="31"/>
      <c r="I232" s="31"/>
    </row>
    <row r="233" spans="1:9" s="1" customFormat="1" ht="15" x14ac:dyDescent="0.25">
      <c r="A233" s="31"/>
      <c r="B233" s="31"/>
      <c r="C233" s="31"/>
      <c r="D233" s="31"/>
      <c r="E233" s="31"/>
      <c r="F233" s="31"/>
      <c r="G233" s="31"/>
      <c r="H233" s="31"/>
      <c r="I233" s="31"/>
    </row>
    <row r="234" spans="1:9" s="1" customFormat="1" ht="15" x14ac:dyDescent="0.25">
      <c r="A234" s="31"/>
      <c r="B234" s="31"/>
      <c r="C234" s="31"/>
      <c r="D234" s="31"/>
      <c r="E234" s="31"/>
      <c r="F234" s="31"/>
      <c r="G234" s="31"/>
      <c r="H234" s="31"/>
      <c r="I234" s="31"/>
    </row>
    <row r="235" spans="1:9" s="1" customFormat="1" ht="15" x14ac:dyDescent="0.25">
      <c r="A235" s="31"/>
      <c r="B235" s="31"/>
      <c r="C235" s="31"/>
      <c r="D235" s="31"/>
      <c r="E235" s="31"/>
      <c r="F235" s="31"/>
      <c r="G235" s="31"/>
      <c r="H235" s="31"/>
      <c r="I235" s="31"/>
    </row>
    <row r="236" spans="1:9" s="1" customFormat="1" ht="15" x14ac:dyDescent="0.25">
      <c r="A236" s="31"/>
      <c r="B236" s="31"/>
      <c r="C236" s="31"/>
      <c r="D236" s="31"/>
      <c r="E236" s="31"/>
      <c r="F236" s="31"/>
      <c r="G236" s="31"/>
      <c r="H236" s="31"/>
      <c r="I236" s="31"/>
    </row>
    <row r="237" spans="1:9" s="1" customFormat="1" ht="15" x14ac:dyDescent="0.25">
      <c r="A237" s="31"/>
      <c r="B237" s="31"/>
      <c r="C237" s="31"/>
      <c r="D237" s="31"/>
      <c r="E237" s="31"/>
      <c r="F237" s="31"/>
      <c r="G237" s="31"/>
      <c r="H237" s="31"/>
      <c r="I237" s="31"/>
    </row>
    <row r="238" spans="1:9" s="1" customFormat="1" ht="15" x14ac:dyDescent="0.25">
      <c r="A238" s="31"/>
      <c r="B238" s="31"/>
      <c r="C238" s="31"/>
      <c r="D238" s="31"/>
      <c r="E238" s="31"/>
      <c r="F238" s="31"/>
      <c r="G238" s="31"/>
      <c r="H238" s="31"/>
      <c r="I238" s="31"/>
    </row>
    <row r="239" spans="1:9" s="1" customFormat="1" ht="15" x14ac:dyDescent="0.25">
      <c r="A239" s="31"/>
      <c r="B239" s="31"/>
      <c r="C239" s="31"/>
      <c r="D239" s="31"/>
      <c r="E239" s="31"/>
      <c r="F239" s="31"/>
      <c r="G239" s="31"/>
      <c r="H239" s="31"/>
      <c r="I239" s="31"/>
    </row>
    <row r="240" spans="1:9" s="1" customFormat="1" ht="15" x14ac:dyDescent="0.25">
      <c r="A240" s="31"/>
      <c r="B240" s="31"/>
      <c r="C240" s="31"/>
      <c r="D240" s="31"/>
      <c r="E240" s="31"/>
      <c r="F240" s="31"/>
      <c r="G240" s="31"/>
      <c r="H240" s="31"/>
      <c r="I240" s="31"/>
    </row>
    <row r="241" spans="1:9" s="1" customFormat="1" ht="15" x14ac:dyDescent="0.25">
      <c r="A241" s="31"/>
      <c r="B241" s="31"/>
      <c r="C241" s="31"/>
      <c r="D241" s="31"/>
      <c r="E241" s="31"/>
      <c r="F241" s="31"/>
      <c r="G241" s="31"/>
      <c r="H241" s="31"/>
      <c r="I241" s="31"/>
    </row>
    <row r="242" spans="1:9" s="1" customFormat="1" ht="15" x14ac:dyDescent="0.25">
      <c r="A242" s="31"/>
      <c r="B242" s="31"/>
      <c r="C242" s="31"/>
      <c r="D242" s="31"/>
      <c r="E242" s="31"/>
      <c r="F242" s="31"/>
      <c r="G242" s="31"/>
      <c r="H242" s="31"/>
      <c r="I242" s="31"/>
    </row>
    <row r="243" spans="1:9" s="1" customFormat="1" ht="15" x14ac:dyDescent="0.25">
      <c r="A243" s="31"/>
      <c r="B243" s="31"/>
      <c r="C243" s="31"/>
      <c r="D243" s="31"/>
      <c r="E243" s="31"/>
      <c r="F243" s="31"/>
      <c r="G243" s="31"/>
      <c r="H243" s="31"/>
      <c r="I243" s="31"/>
    </row>
    <row r="244" spans="1:9" s="1" customFormat="1" ht="15" x14ac:dyDescent="0.25">
      <c r="A244" s="31"/>
      <c r="B244" s="31"/>
      <c r="C244" s="31"/>
      <c r="D244" s="31"/>
      <c r="E244" s="31"/>
      <c r="F244" s="31"/>
      <c r="G244" s="31"/>
      <c r="H244" s="31"/>
      <c r="I244" s="31"/>
    </row>
    <row r="245" spans="1:9" s="1" customFormat="1" ht="15" x14ac:dyDescent="0.25">
      <c r="A245" s="31"/>
      <c r="B245" s="31"/>
      <c r="C245" s="31"/>
      <c r="D245" s="31"/>
      <c r="E245" s="31"/>
      <c r="F245" s="31"/>
      <c r="G245" s="31"/>
      <c r="H245" s="31"/>
      <c r="I245" s="31"/>
    </row>
    <row r="246" spans="1:9" s="1" customFormat="1" ht="15" x14ac:dyDescent="0.25">
      <c r="A246" s="31"/>
      <c r="B246" s="31"/>
      <c r="C246" s="31"/>
      <c r="D246" s="31"/>
      <c r="E246" s="31"/>
      <c r="F246" s="31"/>
      <c r="G246" s="31"/>
      <c r="H246" s="31"/>
      <c r="I246" s="31"/>
    </row>
    <row r="247" spans="1:9" s="1" customFormat="1" ht="15" x14ac:dyDescent="0.25">
      <c r="A247" s="31"/>
      <c r="B247" s="31"/>
      <c r="C247" s="31"/>
      <c r="D247" s="31"/>
      <c r="E247" s="31"/>
      <c r="F247" s="31"/>
      <c r="G247" s="31"/>
      <c r="H247" s="31"/>
      <c r="I247" s="31"/>
    </row>
    <row r="248" spans="1:9" s="1" customFormat="1" ht="15" x14ac:dyDescent="0.25">
      <c r="A248" s="31"/>
      <c r="B248" s="31"/>
      <c r="C248" s="31"/>
      <c r="D248" s="31"/>
      <c r="E248" s="31"/>
      <c r="F248" s="31"/>
      <c r="G248" s="31"/>
      <c r="H248" s="31"/>
      <c r="I248" s="31"/>
    </row>
    <row r="249" spans="1:9" s="1" customFormat="1" ht="15" x14ac:dyDescent="0.25">
      <c r="A249" s="31"/>
      <c r="B249" s="31"/>
      <c r="C249" s="31"/>
      <c r="D249" s="31"/>
      <c r="E249" s="31"/>
      <c r="F249" s="31"/>
      <c r="G249" s="31"/>
      <c r="H249" s="31"/>
      <c r="I249" s="31"/>
    </row>
    <row r="250" spans="1:9" s="1" customFormat="1" ht="15" x14ac:dyDescent="0.25">
      <c r="A250" s="31"/>
      <c r="B250" s="31"/>
      <c r="C250" s="31"/>
      <c r="D250" s="31"/>
      <c r="E250" s="31"/>
      <c r="F250" s="31"/>
      <c r="G250" s="31"/>
      <c r="H250" s="31"/>
      <c r="I250" s="31"/>
    </row>
    <row r="251" spans="1:9" s="1" customFormat="1" ht="15" x14ac:dyDescent="0.25">
      <c r="A251" s="31"/>
      <c r="B251" s="31"/>
      <c r="C251" s="31"/>
      <c r="D251" s="31"/>
      <c r="E251" s="31"/>
      <c r="F251" s="31"/>
      <c r="G251" s="31"/>
      <c r="H251" s="31"/>
      <c r="I251" s="31"/>
    </row>
    <row r="252" spans="1:9" s="1" customFormat="1" ht="15" x14ac:dyDescent="0.25">
      <c r="A252" s="31"/>
      <c r="B252" s="31"/>
      <c r="C252" s="31"/>
      <c r="D252" s="31"/>
      <c r="E252" s="31"/>
      <c r="F252" s="31"/>
      <c r="G252" s="31"/>
      <c r="H252" s="31"/>
      <c r="I252" s="31"/>
    </row>
    <row r="253" spans="1:9" s="1" customFormat="1" ht="15" x14ac:dyDescent="0.25">
      <c r="A253" s="31"/>
      <c r="B253" s="31"/>
      <c r="C253" s="31"/>
      <c r="D253" s="31"/>
      <c r="E253" s="31"/>
      <c r="F253" s="31"/>
      <c r="G253" s="31"/>
      <c r="H253" s="31"/>
      <c r="I253" s="31"/>
    </row>
    <row r="254" spans="1:9" s="1" customFormat="1" ht="15" x14ac:dyDescent="0.25">
      <c r="A254" s="31"/>
      <c r="B254" s="31"/>
      <c r="C254" s="31"/>
      <c r="D254" s="31"/>
      <c r="E254" s="31"/>
      <c r="F254" s="31"/>
      <c r="G254" s="31"/>
      <c r="H254" s="31"/>
      <c r="I254" s="31"/>
    </row>
    <row r="255" spans="1:9" s="1" customFormat="1" ht="15" x14ac:dyDescent="0.25">
      <c r="A255" s="31"/>
      <c r="B255" s="31"/>
      <c r="C255" s="31"/>
      <c r="D255" s="31"/>
      <c r="E255" s="31"/>
      <c r="F255" s="31"/>
      <c r="G255" s="31"/>
      <c r="H255" s="31"/>
      <c r="I255" s="31"/>
    </row>
    <row r="256" spans="1:9" s="1" customFormat="1" ht="15" x14ac:dyDescent="0.25">
      <c r="A256" s="31"/>
      <c r="B256" s="31"/>
      <c r="C256" s="31"/>
      <c r="D256" s="31"/>
      <c r="E256" s="31"/>
      <c r="F256" s="31"/>
      <c r="G256" s="31"/>
      <c r="H256" s="31"/>
      <c r="I256" s="31"/>
    </row>
    <row r="257" spans="1:9" s="1" customFormat="1" ht="15" x14ac:dyDescent="0.25">
      <c r="A257" s="31"/>
      <c r="B257" s="31"/>
      <c r="C257" s="31"/>
      <c r="D257" s="31"/>
      <c r="E257" s="31"/>
      <c r="F257" s="31"/>
      <c r="G257" s="31"/>
      <c r="H257" s="31"/>
      <c r="I257" s="31"/>
    </row>
    <row r="258" spans="1:9" s="1" customFormat="1" ht="15" x14ac:dyDescent="0.25">
      <c r="A258" s="31"/>
      <c r="B258" s="31"/>
      <c r="C258" s="31"/>
      <c r="D258" s="31"/>
      <c r="E258" s="31"/>
      <c r="F258" s="31"/>
      <c r="G258" s="31"/>
      <c r="H258" s="31"/>
      <c r="I258" s="31"/>
    </row>
    <row r="259" spans="1:9" s="1" customFormat="1" ht="15" x14ac:dyDescent="0.25">
      <c r="A259" s="31"/>
      <c r="B259" s="31"/>
      <c r="C259" s="31"/>
      <c r="D259" s="31"/>
      <c r="E259" s="31"/>
      <c r="F259" s="31"/>
      <c r="G259" s="31"/>
      <c r="H259" s="31"/>
      <c r="I259" s="31"/>
    </row>
    <row r="260" spans="1:9" s="1" customFormat="1" ht="15" x14ac:dyDescent="0.25">
      <c r="A260" s="31"/>
      <c r="B260" s="31"/>
      <c r="C260" s="31"/>
      <c r="D260" s="31"/>
      <c r="E260" s="31"/>
      <c r="F260" s="31"/>
      <c r="G260" s="31"/>
      <c r="H260" s="31"/>
      <c r="I260" s="31"/>
    </row>
    <row r="261" spans="1:9" s="1" customFormat="1" ht="15" x14ac:dyDescent="0.25">
      <c r="A261" s="31"/>
      <c r="B261" s="31"/>
      <c r="C261" s="31"/>
      <c r="D261" s="31"/>
      <c r="E261" s="31"/>
      <c r="F261" s="31"/>
      <c r="G261" s="31"/>
      <c r="H261" s="31"/>
      <c r="I261" s="31"/>
    </row>
    <row r="262" spans="1:9" s="1" customFormat="1" ht="15" x14ac:dyDescent="0.25">
      <c r="A262" s="31"/>
      <c r="B262" s="31"/>
      <c r="C262" s="31"/>
      <c r="D262" s="31"/>
      <c r="E262" s="31"/>
      <c r="F262" s="31"/>
      <c r="G262" s="31"/>
      <c r="H262" s="31"/>
      <c r="I262" s="31"/>
    </row>
    <row r="263" spans="1:9" s="1" customFormat="1" ht="15" x14ac:dyDescent="0.25">
      <c r="A263" s="31"/>
      <c r="B263" s="31"/>
      <c r="C263" s="31"/>
      <c r="D263" s="31"/>
      <c r="E263" s="31"/>
      <c r="F263" s="31"/>
      <c r="G263" s="31"/>
      <c r="H263" s="31"/>
      <c r="I263" s="31"/>
    </row>
    <row r="264" spans="1:9" s="1" customFormat="1" ht="15" x14ac:dyDescent="0.25">
      <c r="A264" s="31"/>
      <c r="B264" s="31"/>
      <c r="C264" s="31"/>
      <c r="D264" s="31"/>
      <c r="E264" s="31"/>
      <c r="F264" s="31"/>
      <c r="G264" s="31"/>
      <c r="H264" s="31"/>
      <c r="I264" s="31"/>
    </row>
    <row r="265" spans="1:9" s="1" customFormat="1" ht="15" x14ac:dyDescent="0.25">
      <c r="A265" s="31"/>
      <c r="B265" s="31"/>
      <c r="C265" s="31"/>
      <c r="D265" s="31"/>
      <c r="E265" s="31"/>
      <c r="F265" s="31"/>
      <c r="G265" s="31"/>
      <c r="H265" s="31"/>
      <c r="I265" s="31"/>
    </row>
    <row r="266" spans="1:9" s="1" customFormat="1" ht="15" x14ac:dyDescent="0.25">
      <c r="A266" s="31"/>
      <c r="B266" s="31"/>
      <c r="C266" s="31"/>
      <c r="D266" s="31"/>
      <c r="E266" s="31"/>
      <c r="F266" s="31"/>
      <c r="G266" s="31"/>
      <c r="H266" s="31"/>
      <c r="I266" s="31"/>
    </row>
    <row r="267" spans="1:9" s="1" customFormat="1" ht="15" x14ac:dyDescent="0.25">
      <c r="A267" s="31"/>
      <c r="B267" s="31"/>
      <c r="C267" s="31"/>
      <c r="D267" s="31"/>
      <c r="E267" s="31"/>
      <c r="F267" s="31"/>
      <c r="G267" s="31"/>
      <c r="H267" s="31"/>
      <c r="I267" s="31"/>
    </row>
    <row r="268" spans="1:9" s="1" customFormat="1" ht="15" x14ac:dyDescent="0.25">
      <c r="A268" s="31"/>
      <c r="B268" s="31"/>
      <c r="C268" s="31"/>
      <c r="D268" s="31"/>
      <c r="E268" s="31"/>
      <c r="F268" s="31"/>
      <c r="G268" s="31"/>
      <c r="H268" s="31"/>
      <c r="I268" s="31"/>
    </row>
    <row r="269" spans="1:9" s="1" customFormat="1" ht="15" x14ac:dyDescent="0.25">
      <c r="A269" s="31"/>
      <c r="B269" s="31"/>
      <c r="C269" s="31"/>
      <c r="D269" s="31"/>
      <c r="E269" s="31"/>
      <c r="F269" s="31"/>
      <c r="G269" s="31"/>
      <c r="H269" s="31"/>
      <c r="I269" s="31"/>
    </row>
    <row r="270" spans="1:9" s="1" customFormat="1" ht="15" x14ac:dyDescent="0.25">
      <c r="A270" s="31"/>
      <c r="B270" s="31"/>
      <c r="C270" s="31"/>
      <c r="D270" s="31"/>
      <c r="E270" s="31"/>
      <c r="F270" s="31"/>
      <c r="G270" s="31"/>
      <c r="H270" s="31"/>
      <c r="I270" s="31"/>
    </row>
    <row r="271" spans="1:9" s="1" customFormat="1" ht="15" x14ac:dyDescent="0.25">
      <c r="A271" s="31"/>
      <c r="B271" s="31"/>
      <c r="C271" s="31"/>
      <c r="D271" s="31"/>
      <c r="E271" s="31"/>
      <c r="F271" s="31"/>
      <c r="G271" s="31"/>
      <c r="H271" s="31"/>
      <c r="I271" s="31"/>
    </row>
    <row r="272" spans="1:9" s="1" customFormat="1" ht="15" x14ac:dyDescent="0.25">
      <c r="A272" s="31"/>
      <c r="B272" s="31"/>
      <c r="C272" s="31"/>
      <c r="D272" s="31"/>
      <c r="E272" s="31"/>
      <c r="F272" s="31"/>
      <c r="G272" s="31"/>
      <c r="H272" s="31"/>
      <c r="I272" s="31"/>
    </row>
    <row r="273" spans="1:9" s="1" customFormat="1" ht="15" x14ac:dyDescent="0.25">
      <c r="A273" s="31"/>
      <c r="B273" s="31"/>
      <c r="C273" s="31"/>
      <c r="D273" s="31"/>
      <c r="E273" s="31"/>
      <c r="F273" s="31"/>
      <c r="G273" s="31"/>
      <c r="H273" s="31"/>
      <c r="I273" s="31"/>
    </row>
    <row r="274" spans="1:9" s="1" customFormat="1" ht="15" x14ac:dyDescent="0.25">
      <c r="A274" s="31"/>
      <c r="B274" s="31"/>
      <c r="C274" s="31"/>
      <c r="D274" s="31"/>
      <c r="E274" s="31"/>
      <c r="F274" s="31"/>
      <c r="G274" s="31"/>
      <c r="H274" s="31"/>
      <c r="I274" s="31"/>
    </row>
    <row r="275" spans="1:9" s="1" customFormat="1" ht="15" x14ac:dyDescent="0.25">
      <c r="A275" s="31"/>
      <c r="B275" s="31"/>
      <c r="C275" s="31"/>
      <c r="D275" s="31"/>
      <c r="E275" s="31"/>
      <c r="F275" s="31"/>
      <c r="G275" s="31"/>
      <c r="H275" s="31"/>
      <c r="I275" s="31"/>
    </row>
    <row r="276" spans="1:9" s="1" customFormat="1" ht="15" x14ac:dyDescent="0.25">
      <c r="A276" s="31"/>
      <c r="B276" s="31"/>
      <c r="C276" s="31"/>
      <c r="D276" s="31"/>
      <c r="E276" s="31"/>
      <c r="F276" s="31"/>
      <c r="G276" s="31"/>
      <c r="H276" s="31"/>
      <c r="I276" s="31"/>
    </row>
    <row r="277" spans="1:9" s="1" customFormat="1" ht="15" x14ac:dyDescent="0.25">
      <c r="A277" s="31"/>
      <c r="B277" s="31"/>
      <c r="C277" s="31"/>
      <c r="D277" s="31"/>
      <c r="E277" s="31"/>
      <c r="F277" s="31"/>
      <c r="G277" s="31"/>
      <c r="H277" s="31"/>
      <c r="I277" s="31"/>
    </row>
    <row r="278" spans="1:9" s="1" customFormat="1" ht="15" x14ac:dyDescent="0.25">
      <c r="A278" s="31"/>
      <c r="B278" s="31"/>
      <c r="C278" s="31"/>
      <c r="D278" s="31"/>
      <c r="E278" s="31"/>
      <c r="F278" s="31"/>
      <c r="G278" s="31"/>
      <c r="H278" s="31"/>
      <c r="I278" s="31"/>
    </row>
    <row r="279" spans="1:9" s="1" customFormat="1" ht="15" x14ac:dyDescent="0.25">
      <c r="A279" s="31"/>
      <c r="B279" s="31"/>
      <c r="C279" s="31"/>
      <c r="D279" s="31"/>
      <c r="E279" s="31"/>
      <c r="F279" s="31"/>
      <c r="G279" s="31"/>
      <c r="H279" s="31"/>
      <c r="I279" s="31"/>
    </row>
    <row r="280" spans="1:9" s="1" customFormat="1" ht="15" x14ac:dyDescent="0.25">
      <c r="A280" s="31"/>
      <c r="B280" s="31"/>
      <c r="C280" s="31"/>
      <c r="D280" s="31"/>
      <c r="E280" s="31"/>
      <c r="F280" s="31"/>
      <c r="G280" s="31"/>
      <c r="H280" s="31"/>
      <c r="I280" s="31"/>
    </row>
    <row r="281" spans="1:9" s="1" customFormat="1" ht="15" x14ac:dyDescent="0.25">
      <c r="A281" s="31"/>
      <c r="B281" s="31"/>
      <c r="C281" s="31"/>
      <c r="D281" s="31"/>
      <c r="E281" s="31"/>
      <c r="F281" s="31"/>
      <c r="G281" s="31"/>
      <c r="H281" s="31"/>
      <c r="I281" s="31"/>
    </row>
    <row r="282" spans="1:9" s="1" customFormat="1" ht="15" x14ac:dyDescent="0.25">
      <c r="A282" s="31"/>
      <c r="B282" s="31"/>
      <c r="C282" s="31"/>
      <c r="D282" s="31"/>
      <c r="E282" s="31"/>
      <c r="F282" s="31"/>
      <c r="G282" s="31"/>
      <c r="H282" s="31"/>
      <c r="I282" s="31"/>
    </row>
    <row r="283" spans="1:9" s="1" customFormat="1" ht="15" x14ac:dyDescent="0.25">
      <c r="A283" s="31"/>
      <c r="B283" s="31"/>
      <c r="C283" s="31"/>
      <c r="D283" s="31"/>
      <c r="E283" s="31"/>
      <c r="F283" s="31"/>
      <c r="G283" s="31"/>
      <c r="H283" s="31"/>
      <c r="I283" s="31"/>
    </row>
    <row r="284" spans="1:9" s="1" customFormat="1" ht="15" x14ac:dyDescent="0.25">
      <c r="A284" s="31"/>
      <c r="B284" s="31"/>
      <c r="C284" s="31"/>
      <c r="D284" s="31"/>
      <c r="E284" s="31"/>
      <c r="F284" s="31"/>
      <c r="G284" s="31"/>
      <c r="H284" s="31"/>
      <c r="I284" s="31"/>
    </row>
    <row r="285" spans="1:9" s="1" customFormat="1" ht="15" x14ac:dyDescent="0.25">
      <c r="A285" s="31"/>
      <c r="B285" s="31"/>
      <c r="C285" s="31"/>
      <c r="D285" s="31"/>
      <c r="E285" s="31"/>
      <c r="F285" s="31"/>
      <c r="G285" s="31"/>
      <c r="H285" s="31"/>
      <c r="I285" s="31"/>
    </row>
    <row r="286" spans="1:9" s="1" customFormat="1" ht="15" x14ac:dyDescent="0.25">
      <c r="A286" s="31"/>
      <c r="B286" s="31"/>
      <c r="C286" s="31"/>
      <c r="D286" s="31"/>
      <c r="E286" s="31"/>
      <c r="F286" s="31"/>
      <c r="G286" s="31"/>
      <c r="H286" s="31"/>
      <c r="I286" s="31"/>
    </row>
    <row r="287" spans="1:9" s="1" customFormat="1" ht="15" x14ac:dyDescent="0.25">
      <c r="A287" s="31"/>
      <c r="B287" s="31"/>
      <c r="C287" s="31"/>
      <c r="D287" s="31"/>
      <c r="E287" s="31"/>
      <c r="F287" s="31"/>
      <c r="G287" s="31"/>
      <c r="H287" s="31"/>
      <c r="I287" s="31"/>
    </row>
    <row r="288" spans="1:9" s="1" customFormat="1" ht="15" x14ac:dyDescent="0.25">
      <c r="A288" s="31"/>
      <c r="B288" s="31"/>
      <c r="C288" s="31"/>
      <c r="D288" s="31"/>
      <c r="E288" s="31"/>
      <c r="F288" s="31"/>
      <c r="G288" s="31"/>
      <c r="H288" s="31"/>
      <c r="I288" s="31"/>
    </row>
    <row r="289" spans="1:9" s="1" customFormat="1" ht="15" x14ac:dyDescent="0.25">
      <c r="A289" s="31"/>
      <c r="B289" s="31"/>
      <c r="C289" s="31"/>
      <c r="D289" s="31"/>
      <c r="E289" s="31"/>
      <c r="F289" s="31"/>
      <c r="G289" s="31"/>
      <c r="H289" s="31"/>
      <c r="I289" s="31"/>
    </row>
    <row r="290" spans="1:9" s="1" customFormat="1" ht="15" x14ac:dyDescent="0.25">
      <c r="A290" s="31"/>
      <c r="B290" s="31"/>
      <c r="C290" s="31"/>
      <c r="D290" s="31"/>
      <c r="E290" s="31"/>
      <c r="F290" s="31"/>
      <c r="G290" s="31"/>
      <c r="H290" s="31"/>
      <c r="I290" s="31"/>
    </row>
    <row r="291" spans="1:9" s="1" customFormat="1" ht="15" x14ac:dyDescent="0.25">
      <c r="A291" s="31"/>
      <c r="B291" s="31"/>
      <c r="C291" s="31"/>
      <c r="D291" s="31"/>
      <c r="E291" s="31"/>
      <c r="F291" s="31"/>
      <c r="G291" s="31"/>
      <c r="H291" s="31"/>
      <c r="I291" s="31"/>
    </row>
    <row r="292" spans="1:9" s="1" customFormat="1" ht="15" x14ac:dyDescent="0.25">
      <c r="A292" s="31"/>
      <c r="B292" s="31"/>
      <c r="C292" s="31"/>
      <c r="D292" s="31"/>
      <c r="E292" s="31"/>
      <c r="F292" s="31"/>
      <c r="G292" s="31"/>
      <c r="H292" s="31"/>
      <c r="I292" s="31"/>
    </row>
    <row r="293" spans="1:9" s="1" customFormat="1" ht="15" x14ac:dyDescent="0.25">
      <c r="A293" s="31"/>
      <c r="B293" s="31"/>
      <c r="C293" s="31"/>
      <c r="D293" s="31"/>
      <c r="E293" s="31"/>
      <c r="F293" s="31"/>
      <c r="G293" s="31"/>
      <c r="H293" s="31"/>
      <c r="I293" s="31"/>
    </row>
    <row r="294" spans="1:9" s="1" customFormat="1" ht="15" x14ac:dyDescent="0.25">
      <c r="A294" s="31"/>
      <c r="B294" s="31"/>
      <c r="C294" s="31"/>
      <c r="D294" s="31"/>
      <c r="E294" s="31"/>
      <c r="F294" s="31"/>
      <c r="G294" s="31"/>
      <c r="H294" s="31"/>
      <c r="I294" s="31"/>
    </row>
    <row r="295" spans="1:9" s="1" customFormat="1" ht="15" x14ac:dyDescent="0.25">
      <c r="A295" s="31"/>
      <c r="B295" s="31"/>
      <c r="C295" s="31"/>
      <c r="D295" s="31"/>
      <c r="E295" s="31"/>
      <c r="F295" s="31"/>
      <c r="G295" s="31"/>
      <c r="H295" s="31"/>
      <c r="I295" s="31"/>
    </row>
    <row r="296" spans="1:9" s="1" customFormat="1" ht="15" x14ac:dyDescent="0.25">
      <c r="A296" s="31"/>
      <c r="B296" s="31"/>
      <c r="C296" s="31"/>
      <c r="D296" s="31"/>
      <c r="E296" s="31"/>
      <c r="F296" s="31"/>
      <c r="G296" s="31"/>
      <c r="H296" s="31"/>
      <c r="I296" s="31"/>
    </row>
    <row r="297" spans="1:9" s="1" customFormat="1" ht="15" x14ac:dyDescent="0.25">
      <c r="A297" s="31"/>
      <c r="B297" s="31"/>
      <c r="C297" s="31"/>
      <c r="D297" s="31"/>
      <c r="E297" s="31"/>
      <c r="F297" s="31"/>
      <c r="G297" s="31"/>
      <c r="H297" s="31"/>
      <c r="I297" s="31"/>
    </row>
    <row r="298" spans="1:9" s="1" customFormat="1" ht="15" x14ac:dyDescent="0.25">
      <c r="A298" s="31"/>
      <c r="B298" s="31"/>
      <c r="C298" s="31"/>
      <c r="D298" s="31"/>
      <c r="E298" s="31"/>
      <c r="F298" s="31"/>
      <c r="G298" s="31"/>
      <c r="H298" s="31"/>
      <c r="I298" s="31"/>
    </row>
    <row r="299" spans="1:9" s="1" customFormat="1" ht="15" x14ac:dyDescent="0.25">
      <c r="A299" s="31"/>
      <c r="B299" s="31"/>
      <c r="C299" s="31"/>
      <c r="D299" s="31"/>
      <c r="E299" s="31"/>
      <c r="F299" s="31"/>
      <c r="G299" s="31"/>
      <c r="H299" s="31"/>
      <c r="I299" s="31"/>
    </row>
    <row r="300" spans="1:9" s="1" customFormat="1" ht="15" x14ac:dyDescent="0.25">
      <c r="A300" s="31"/>
      <c r="B300" s="31"/>
      <c r="C300" s="31"/>
      <c r="D300" s="31"/>
      <c r="E300" s="31"/>
      <c r="F300" s="31"/>
      <c r="G300" s="31"/>
      <c r="H300" s="31"/>
      <c r="I300" s="31"/>
    </row>
    <row r="301" spans="1:9" ht="12.75" x14ac:dyDescent="0.2">
      <c r="H301" s="31"/>
    </row>
    <row r="302" spans="1:9" ht="12.75" x14ac:dyDescent="0.2">
      <c r="H302" s="31"/>
    </row>
    <row r="303" spans="1:9" ht="12.75" x14ac:dyDescent="0.2">
      <c r="H303" s="31"/>
    </row>
    <row r="304" spans="1:9" ht="12.75" x14ac:dyDescent="0.2">
      <c r="H304" s="31"/>
    </row>
    <row r="305" spans="8:8" ht="12.75" x14ac:dyDescent="0.2">
      <c r="H305" s="31"/>
    </row>
    <row r="306" spans="8:8" ht="12.75" x14ac:dyDescent="0.2">
      <c r="H306" s="31"/>
    </row>
    <row r="307" spans="8:8" ht="12.75" x14ac:dyDescent="0.2">
      <c r="H307" s="31"/>
    </row>
    <row r="308" spans="8:8" ht="12.75" x14ac:dyDescent="0.2">
      <c r="H308" s="31"/>
    </row>
    <row r="309" spans="8:8" ht="12.75" x14ac:dyDescent="0.2">
      <c r="H309" s="31"/>
    </row>
    <row r="310" spans="8:8" ht="12.75" x14ac:dyDescent="0.2">
      <c r="H310" s="31"/>
    </row>
    <row r="311" spans="8:8" ht="12.75" x14ac:dyDescent="0.2">
      <c r="H311" s="31"/>
    </row>
    <row r="312" spans="8:8" ht="12.75" x14ac:dyDescent="0.2">
      <c r="H312" s="31"/>
    </row>
    <row r="313" spans="8:8" ht="12.75" x14ac:dyDescent="0.2">
      <c r="H313" s="31"/>
    </row>
    <row r="314" spans="8:8" ht="12.75" x14ac:dyDescent="0.2">
      <c r="H314" s="31"/>
    </row>
    <row r="315" spans="8:8" ht="12.75" x14ac:dyDescent="0.2">
      <c r="H315" s="31"/>
    </row>
    <row r="316" spans="8:8" ht="12.75" x14ac:dyDescent="0.2">
      <c r="H316" s="31"/>
    </row>
    <row r="317" spans="8:8" ht="12.75" x14ac:dyDescent="0.2">
      <c r="H317" s="31"/>
    </row>
    <row r="318" spans="8:8" ht="12.75" x14ac:dyDescent="0.2">
      <c r="H318" s="31"/>
    </row>
    <row r="319" spans="8:8" ht="12.75" x14ac:dyDescent="0.2">
      <c r="H319" s="31"/>
    </row>
    <row r="320" spans="8:8" ht="12.75" x14ac:dyDescent="0.2">
      <c r="H320" s="31"/>
    </row>
    <row r="321" spans="8:8" ht="12.75" x14ac:dyDescent="0.2">
      <c r="H321" s="31"/>
    </row>
    <row r="322" spans="8:8" ht="12.75" x14ac:dyDescent="0.2">
      <c r="H322" s="31"/>
    </row>
    <row r="323" spans="8:8" ht="12.75" x14ac:dyDescent="0.2">
      <c r="H323" s="31"/>
    </row>
    <row r="324" spans="8:8" ht="12.75" x14ac:dyDescent="0.2">
      <c r="H324" s="31"/>
    </row>
    <row r="325" spans="8:8" ht="12.75" x14ac:dyDescent="0.2">
      <c r="H325" s="31"/>
    </row>
    <row r="326" spans="8:8" ht="12.75" x14ac:dyDescent="0.2">
      <c r="H326" s="31"/>
    </row>
    <row r="327" spans="8:8" ht="12.75" x14ac:dyDescent="0.2">
      <c r="H327" s="31"/>
    </row>
    <row r="328" spans="8:8" ht="12.75" x14ac:dyDescent="0.2">
      <c r="H328" s="31"/>
    </row>
    <row r="329" spans="8:8" ht="12.75" x14ac:dyDescent="0.2">
      <c r="H329" s="31"/>
    </row>
    <row r="330" spans="8:8" ht="12.75" x14ac:dyDescent="0.2">
      <c r="H330" s="31"/>
    </row>
    <row r="331" spans="8:8" ht="12.75" x14ac:dyDescent="0.2">
      <c r="H331" s="31"/>
    </row>
    <row r="332" spans="8:8" ht="12.75" x14ac:dyDescent="0.2">
      <c r="H332" s="31"/>
    </row>
    <row r="333" spans="8:8" ht="12.75" x14ac:dyDescent="0.2">
      <c r="H333" s="31"/>
    </row>
    <row r="334" spans="8:8" ht="12.75" x14ac:dyDescent="0.2">
      <c r="H334" s="31"/>
    </row>
    <row r="335" spans="8:8" ht="12.75" x14ac:dyDescent="0.2">
      <c r="H335" s="31"/>
    </row>
    <row r="336" spans="8:8" ht="12.75" x14ac:dyDescent="0.2">
      <c r="H336" s="31"/>
    </row>
    <row r="337" spans="8:8" ht="12.75" x14ac:dyDescent="0.2">
      <c r="H337" s="31"/>
    </row>
    <row r="338" spans="8:8" ht="12.75" x14ac:dyDescent="0.2">
      <c r="H338" s="31"/>
    </row>
    <row r="339" spans="8:8" ht="12.75" x14ac:dyDescent="0.2">
      <c r="H339" s="31"/>
    </row>
    <row r="340" spans="8:8" ht="12.75" x14ac:dyDescent="0.2">
      <c r="H340" s="31"/>
    </row>
    <row r="341" spans="8:8" ht="12.75" x14ac:dyDescent="0.2">
      <c r="H341" s="31"/>
    </row>
    <row r="342" spans="8:8" ht="12.75" x14ac:dyDescent="0.2">
      <c r="H342" s="31"/>
    </row>
    <row r="343" spans="8:8" ht="12.75" x14ac:dyDescent="0.2">
      <c r="H343" s="31"/>
    </row>
    <row r="344" spans="8:8" ht="12.75" x14ac:dyDescent="0.2">
      <c r="H344" s="31"/>
    </row>
    <row r="345" spans="8:8" ht="12.75" x14ac:dyDescent="0.2">
      <c r="H345" s="31"/>
    </row>
    <row r="346" spans="8:8" ht="12.75" x14ac:dyDescent="0.2">
      <c r="H346" s="31"/>
    </row>
    <row r="347" spans="8:8" ht="12.75" x14ac:dyDescent="0.2">
      <c r="H347" s="31"/>
    </row>
    <row r="348" spans="8:8" ht="12.75" x14ac:dyDescent="0.2">
      <c r="H348" s="31"/>
    </row>
    <row r="349" spans="8:8" ht="12.75" x14ac:dyDescent="0.2">
      <c r="H349" s="31"/>
    </row>
    <row r="350" spans="8:8" ht="12.75" x14ac:dyDescent="0.2">
      <c r="H350" s="31"/>
    </row>
    <row r="351" spans="8:8" ht="12.75" x14ac:dyDescent="0.2">
      <c r="H351" s="31"/>
    </row>
    <row r="352" spans="8:8" ht="12.75" x14ac:dyDescent="0.2">
      <c r="H352" s="31"/>
    </row>
    <row r="353" spans="8:8" ht="12.75" x14ac:dyDescent="0.2">
      <c r="H353" s="31"/>
    </row>
    <row r="354" spans="8:8" ht="12.75" x14ac:dyDescent="0.2">
      <c r="H354" s="31"/>
    </row>
    <row r="355" spans="8:8" ht="12.75" x14ac:dyDescent="0.2">
      <c r="H355" s="31"/>
    </row>
    <row r="356" spans="8:8" ht="12.75" x14ac:dyDescent="0.2">
      <c r="H356" s="31"/>
    </row>
    <row r="357" spans="8:8" ht="12.75" x14ac:dyDescent="0.2">
      <c r="H357" s="31"/>
    </row>
    <row r="358" spans="8:8" ht="12.75" x14ac:dyDescent="0.2">
      <c r="H358" s="31"/>
    </row>
    <row r="359" spans="8:8" ht="12.75" x14ac:dyDescent="0.2">
      <c r="H359" s="31"/>
    </row>
    <row r="360" spans="8:8" ht="12.75" x14ac:dyDescent="0.2">
      <c r="H360" s="31"/>
    </row>
    <row r="361" spans="8:8" ht="12.75" x14ac:dyDescent="0.2">
      <c r="H361" s="31"/>
    </row>
    <row r="362" spans="8:8" ht="12.75" x14ac:dyDescent="0.2">
      <c r="H362" s="31"/>
    </row>
  </sheetData>
  <mergeCells count="1">
    <mergeCell ref="I2:I21"/>
  </mergeCells>
  <phoneticPr fontId="0" type="noConversion"/>
  <printOptions horizontalCentered="1" verticalCentered="1"/>
  <pageMargins left="0.25" right="0.5" top="0.25" bottom="0.25" header="0.5" footer="0.5"/>
  <pageSetup scale="70" orientation="landscape" horizontalDpi="4294967293" verticalDpi="300" r:id="rId1"/>
  <headerFooter alignWithMargins="0">
    <oddFooter>&amp;R&amp;P of &amp;N</oddFooter>
  </headerFooter>
  <rowBreaks count="4" manualBreakCount="4">
    <brk id="43" max="8" man="1"/>
    <brk id="77" max="16383" man="1"/>
    <brk id="108" max="16383" man="1"/>
    <brk id="13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"/>
  <sheetViews>
    <sheetView zoomScaleNormal="100" workbookViewId="0">
      <selection activeCell="H150" sqref="H150:H160"/>
    </sheetView>
  </sheetViews>
  <sheetFormatPr defaultRowHeight="12.75" x14ac:dyDescent="0.2"/>
  <cols>
    <col min="1" max="1" width="55.7109375" customWidth="1"/>
    <col min="2" max="6" width="12.7109375" customWidth="1"/>
    <col min="7" max="9" width="14.7109375" customWidth="1"/>
  </cols>
  <sheetData>
    <row r="1" spans="1:9" ht="94.5" x14ac:dyDescent="0.2">
      <c r="A1" s="171" t="s">
        <v>16</v>
      </c>
      <c r="B1" s="172">
        <v>1990</v>
      </c>
      <c r="C1" s="172">
        <v>2000</v>
      </c>
      <c r="D1" s="138" t="s">
        <v>80</v>
      </c>
      <c r="E1" s="137">
        <v>2010</v>
      </c>
      <c r="F1" s="138" t="s">
        <v>182</v>
      </c>
      <c r="G1" s="137" t="s">
        <v>183</v>
      </c>
      <c r="H1" s="137" t="s">
        <v>213</v>
      </c>
      <c r="I1" s="173" t="s">
        <v>184</v>
      </c>
    </row>
    <row r="2" spans="1:9" ht="12.75" customHeight="1" x14ac:dyDescent="0.2">
      <c r="A2" s="37" t="s">
        <v>28</v>
      </c>
      <c r="B2" s="40">
        <v>13225</v>
      </c>
      <c r="C2" s="40">
        <v>16754</v>
      </c>
      <c r="D2" s="40">
        <f>C2-B2</f>
        <v>3529</v>
      </c>
      <c r="E2" s="217">
        <v>16754</v>
      </c>
      <c r="F2" s="70">
        <f>E2-C2</f>
        <v>0</v>
      </c>
      <c r="G2" s="37" t="s">
        <v>196</v>
      </c>
      <c r="H2" s="37"/>
      <c r="I2" s="250" t="s">
        <v>170</v>
      </c>
    </row>
    <row r="3" spans="1:9" x14ac:dyDescent="0.2">
      <c r="A3" s="37" t="s">
        <v>33</v>
      </c>
      <c r="B3" s="43">
        <f>B2/'STATE TOTALS'!$B$2</f>
        <v>3.075574242850598E-2</v>
      </c>
      <c r="C3" s="43">
        <f>C2/'STATE TOTALS'!$C$2</f>
        <v>3.164093189097722E-2</v>
      </c>
      <c r="D3" s="43">
        <f>D2/'STATE TOTALS'!$D$2</f>
        <v>3.5466267348723157E-2</v>
      </c>
      <c r="E3" s="43">
        <f>E2/'STATE TOTALS'!$E$2</f>
        <v>3.263437770873711E-2</v>
      </c>
      <c r="F3" s="43">
        <f>F2/'STATE TOTALS'!$F$2</f>
        <v>0</v>
      </c>
      <c r="G3" s="37" t="s">
        <v>40</v>
      </c>
      <c r="H3" s="37"/>
      <c r="I3" s="251"/>
    </row>
    <row r="4" spans="1:9" x14ac:dyDescent="0.2">
      <c r="A4" s="37" t="s">
        <v>29</v>
      </c>
      <c r="B4" s="139">
        <v>1932</v>
      </c>
      <c r="C4" s="40">
        <v>2470</v>
      </c>
      <c r="D4" s="40">
        <f>C4-B4</f>
        <v>538</v>
      </c>
      <c r="E4" s="40">
        <f>E5-E2</f>
        <v>3056</v>
      </c>
      <c r="F4" s="40">
        <f>E4-C4</f>
        <v>586</v>
      </c>
      <c r="G4" s="166" t="s">
        <v>188</v>
      </c>
      <c r="H4" s="166" t="s">
        <v>34</v>
      </c>
      <c r="I4" s="251"/>
    </row>
    <row r="5" spans="1:9" x14ac:dyDescent="0.2">
      <c r="A5" s="37" t="s">
        <v>30</v>
      </c>
      <c r="B5" s="139">
        <v>15157</v>
      </c>
      <c r="C5" s="40">
        <v>19224</v>
      </c>
      <c r="D5" s="40">
        <f>C5-B5</f>
        <v>4067</v>
      </c>
      <c r="E5" s="217">
        <v>19810</v>
      </c>
      <c r="F5" s="70">
        <f>E5-C5</f>
        <v>586</v>
      </c>
      <c r="G5" s="217">
        <v>21275</v>
      </c>
      <c r="H5" s="194">
        <f>(E5-B5)/('STATE TOTALS'!E5-'STATE TOTALS'!B5)*('STATE TOTALS'!G5-'STATE TOTALS'!E5)+E5</f>
        <v>22476.762421206986</v>
      </c>
      <c r="I5" s="251"/>
    </row>
    <row r="6" spans="1:9" x14ac:dyDescent="0.2">
      <c r="A6" s="37" t="s">
        <v>33</v>
      </c>
      <c r="B6" s="43">
        <f>B5/'STATE TOTALS'!$B$5</f>
        <v>3.0593502236432042E-2</v>
      </c>
      <c r="C6" s="43">
        <f>C5/'STATE TOTALS'!$C$5</f>
        <v>3.1729002890006457E-2</v>
      </c>
      <c r="D6" s="43">
        <f>D5/'STATE TOTALS'!$D$5</f>
        <v>3.6822424829559344E-2</v>
      </c>
      <c r="E6" s="43">
        <f>E5/'STATE TOTALS'!$E$5</f>
        <v>3.2991702944771786E-2</v>
      </c>
      <c r="F6" s="43">
        <f>F5/'STATE TOTALS'!$F$5</f>
        <v>-0.10797862539156071</v>
      </c>
      <c r="G6" s="37"/>
      <c r="H6" s="37"/>
      <c r="I6" s="251"/>
    </row>
    <row r="7" spans="1:9" x14ac:dyDescent="0.2">
      <c r="A7" s="37"/>
      <c r="B7" s="41"/>
      <c r="C7" s="41"/>
      <c r="D7" s="41"/>
      <c r="E7" s="141"/>
      <c r="F7" s="37"/>
      <c r="G7" s="37"/>
      <c r="H7" s="37"/>
      <c r="I7" s="251"/>
    </row>
    <row r="8" spans="1:9" x14ac:dyDescent="0.2">
      <c r="A8" s="37" t="s">
        <v>92</v>
      </c>
      <c r="B8" s="139">
        <v>19324</v>
      </c>
      <c r="C8" s="40">
        <v>23856</v>
      </c>
      <c r="D8" s="40">
        <f>C8-B8</f>
        <v>4532</v>
      </c>
      <c r="E8" s="217">
        <v>25440</v>
      </c>
      <c r="F8" s="70">
        <f>E8-C8</f>
        <v>1584</v>
      </c>
      <c r="G8" s="40">
        <f>G5*G9</f>
        <v>26401.18601747815</v>
      </c>
      <c r="H8" s="40">
        <f>H5*H9</f>
        <v>27892.511668763724</v>
      </c>
      <c r="I8" s="251"/>
    </row>
    <row r="9" spans="1:9" x14ac:dyDescent="0.2">
      <c r="A9" s="37" t="s">
        <v>173</v>
      </c>
      <c r="B9" s="191">
        <f>B8/B5</f>
        <v>1.2749224780629411</v>
      </c>
      <c r="C9" s="191">
        <f>C8/C5</f>
        <v>1.2409488139825218</v>
      </c>
      <c r="D9" s="191"/>
      <c r="E9" s="198">
        <f>E8/E5</f>
        <v>1.2841998990408885</v>
      </c>
      <c r="F9" s="199" t="s">
        <v>45</v>
      </c>
      <c r="G9" s="200">
        <f>+C9</f>
        <v>1.2409488139825218</v>
      </c>
      <c r="H9" s="201">
        <f>G9</f>
        <v>1.2409488139825218</v>
      </c>
      <c r="I9" s="251"/>
    </row>
    <row r="10" spans="1:9" x14ac:dyDescent="0.2">
      <c r="A10" s="37"/>
      <c r="B10" s="41"/>
      <c r="C10" s="41"/>
      <c r="D10" s="41"/>
      <c r="E10" s="141"/>
      <c r="F10" s="37"/>
      <c r="G10" s="37" t="s">
        <v>226</v>
      </c>
      <c r="H10" s="37"/>
      <c r="I10" s="251"/>
    </row>
    <row r="11" spans="1:9" x14ac:dyDescent="0.2">
      <c r="A11" s="37" t="s">
        <v>123</v>
      </c>
      <c r="B11" s="149">
        <f>B13/B8</f>
        <v>0.85898364727799625</v>
      </c>
      <c r="C11" s="149">
        <f>C13/C8</f>
        <v>0.87126928236083168</v>
      </c>
      <c r="D11" s="41"/>
      <c r="E11" s="200">
        <f>E13/E8</f>
        <v>0.90338050314465412</v>
      </c>
      <c r="F11" s="202" t="s">
        <v>45</v>
      </c>
      <c r="G11" s="200">
        <f>E11</f>
        <v>0.90338050314465412</v>
      </c>
      <c r="H11" s="201">
        <f>G11</f>
        <v>0.90338050314465412</v>
      </c>
      <c r="I11" s="251"/>
    </row>
    <row r="12" spans="1:9" x14ac:dyDescent="0.2">
      <c r="A12" s="37"/>
      <c r="B12" s="41"/>
      <c r="C12" s="41"/>
      <c r="D12" s="41"/>
      <c r="E12" s="141"/>
      <c r="F12" s="37"/>
      <c r="G12" s="37"/>
      <c r="H12" s="37"/>
      <c r="I12" s="251"/>
    </row>
    <row r="13" spans="1:9" x14ac:dyDescent="0.2">
      <c r="A13" s="37" t="s">
        <v>124</v>
      </c>
      <c r="B13" s="139">
        <v>16599</v>
      </c>
      <c r="C13" s="139">
        <v>20785</v>
      </c>
      <c r="D13" s="40">
        <f>C13-B13</f>
        <v>4186</v>
      </c>
      <c r="E13" s="217">
        <v>22982</v>
      </c>
      <c r="F13" s="70">
        <f>E13-C13</f>
        <v>2197</v>
      </c>
      <c r="G13" s="40">
        <f>G11*G8</f>
        <v>23850.316708085018</v>
      </c>
      <c r="H13" s="40">
        <f>H11*H8</f>
        <v>25197.551225295909</v>
      </c>
      <c r="I13" s="251"/>
    </row>
    <row r="14" spans="1:9" x14ac:dyDescent="0.2">
      <c r="A14" s="37" t="s">
        <v>25</v>
      </c>
      <c r="B14" s="139">
        <v>13446</v>
      </c>
      <c r="C14" s="139">
        <v>15816</v>
      </c>
      <c r="D14" s="40">
        <f>C14-B14</f>
        <v>2370</v>
      </c>
      <c r="E14" s="40">
        <v>17571</v>
      </c>
      <c r="F14" s="70">
        <f>E14-C14</f>
        <v>1755</v>
      </c>
      <c r="G14" s="40">
        <f>G13-G15</f>
        <v>18234.875767024707</v>
      </c>
      <c r="H14" s="40">
        <f>H13-H15</f>
        <v>19264.910476880796</v>
      </c>
      <c r="I14" s="251"/>
    </row>
    <row r="15" spans="1:9" x14ac:dyDescent="0.2">
      <c r="A15" s="37" t="s">
        <v>26</v>
      </c>
      <c r="B15" s="139">
        <f>B13-B14</f>
        <v>3153</v>
      </c>
      <c r="C15" s="139">
        <f>C13-C14</f>
        <v>4969</v>
      </c>
      <c r="D15" s="40">
        <f>C15-B15</f>
        <v>1816</v>
      </c>
      <c r="E15" s="139">
        <f>E13-E14</f>
        <v>5411</v>
      </c>
      <c r="F15" s="70">
        <f>E15-C15</f>
        <v>442</v>
      </c>
      <c r="G15" s="40">
        <f>G16*G13</f>
        <v>5615.4409410603093</v>
      </c>
      <c r="H15" s="40">
        <f>H16*H13</f>
        <v>5932.640748415115</v>
      </c>
      <c r="I15" s="251"/>
    </row>
    <row r="16" spans="1:9" x14ac:dyDescent="0.2">
      <c r="A16" s="37" t="s">
        <v>27</v>
      </c>
      <c r="B16" s="43">
        <f>B15/B13</f>
        <v>0.1899512018796313</v>
      </c>
      <c r="C16" s="43">
        <f>C15/C13</f>
        <v>0.23906663459225402</v>
      </c>
      <c r="D16" s="37"/>
      <c r="E16" s="203">
        <f>E15/E13</f>
        <v>0.2354451309720651</v>
      </c>
      <c r="F16" s="202" t="s">
        <v>45</v>
      </c>
      <c r="G16" s="203">
        <f>E16</f>
        <v>0.2354451309720651</v>
      </c>
      <c r="H16" s="204">
        <f>G16</f>
        <v>0.2354451309720651</v>
      </c>
      <c r="I16" s="251"/>
    </row>
    <row r="17" spans="1:9" x14ac:dyDescent="0.2">
      <c r="A17" s="37"/>
      <c r="B17" s="41"/>
      <c r="C17" s="41"/>
      <c r="D17" s="41"/>
      <c r="E17" s="141"/>
      <c r="F17" s="37"/>
      <c r="G17" s="37"/>
      <c r="H17" s="37"/>
      <c r="I17" s="251"/>
    </row>
    <row r="18" spans="1:9" x14ac:dyDescent="0.2">
      <c r="A18" s="37" t="s">
        <v>31</v>
      </c>
      <c r="B18" s="41">
        <f>B2/B55</f>
        <v>0.9278748333684137</v>
      </c>
      <c r="C18" s="41">
        <f>C2/C55</f>
        <v>0.91297476976731518</v>
      </c>
      <c r="D18" s="41"/>
      <c r="E18" s="41">
        <f>E2/E55</f>
        <v>0.79583887516625496</v>
      </c>
      <c r="F18" s="37"/>
      <c r="G18" s="41"/>
      <c r="H18" s="41"/>
      <c r="I18" s="251"/>
    </row>
    <row r="19" spans="1:9" x14ac:dyDescent="0.2">
      <c r="A19" s="37"/>
      <c r="B19" s="40"/>
      <c r="C19" s="40"/>
      <c r="D19" s="37"/>
      <c r="E19" s="37"/>
      <c r="F19" s="37"/>
      <c r="G19" s="37"/>
      <c r="H19" s="37"/>
      <c r="I19" s="251"/>
    </row>
    <row r="20" spans="1:9" x14ac:dyDescent="0.2">
      <c r="A20" s="37" t="s">
        <v>128</v>
      </c>
      <c r="B20" s="41">
        <f>B24/B8</f>
        <v>1.5375181121920927</v>
      </c>
      <c r="C20" s="41">
        <f>C24/C8</f>
        <v>1.5014671361502347</v>
      </c>
      <c r="D20" s="37"/>
      <c r="E20" s="41">
        <f>E24/E8</f>
        <v>1.4929245283018868</v>
      </c>
      <c r="F20" s="140" t="s">
        <v>46</v>
      </c>
      <c r="G20" s="205">
        <f>+E20</f>
        <v>1.4929245283018868</v>
      </c>
      <c r="H20" s="41">
        <f>H24/H8</f>
        <v>1.30877936689202</v>
      </c>
      <c r="I20" s="251"/>
    </row>
    <row r="21" spans="1:9" x14ac:dyDescent="0.2">
      <c r="A21" s="37" t="s">
        <v>94</v>
      </c>
      <c r="B21" s="41">
        <f>B29/B8</f>
        <v>0.55143862554336576</v>
      </c>
      <c r="C21" s="41">
        <f>C29/C8</f>
        <v>0.56233232729711602</v>
      </c>
      <c r="D21" s="37"/>
      <c r="E21" s="205">
        <f>E29/E8</f>
        <v>0.58183962264150946</v>
      </c>
      <c r="F21" s="202" t="s">
        <v>45</v>
      </c>
      <c r="G21" s="205">
        <f>AVERAGE(B21:E21)</f>
        <v>0.56520352516066374</v>
      </c>
      <c r="H21" s="206">
        <f>G21</f>
        <v>0.56520352516066374</v>
      </c>
      <c r="I21" s="252"/>
    </row>
    <row r="22" spans="1:9" x14ac:dyDescent="0.2">
      <c r="A22" s="37"/>
      <c r="B22" s="37"/>
      <c r="C22" s="37"/>
      <c r="D22" s="37"/>
      <c r="E22" s="37"/>
      <c r="F22" s="37"/>
      <c r="G22" s="37"/>
      <c r="H22" s="37"/>
      <c r="I22" s="161"/>
    </row>
    <row r="23" spans="1:9" x14ac:dyDescent="0.2">
      <c r="A23" s="64" t="s">
        <v>98</v>
      </c>
      <c r="B23" s="41"/>
      <c r="C23" s="41"/>
      <c r="D23" s="37"/>
      <c r="E23" s="37"/>
      <c r="F23" s="37"/>
      <c r="G23" s="37"/>
      <c r="H23" s="37"/>
      <c r="I23" s="159"/>
    </row>
    <row r="24" spans="1:9" x14ac:dyDescent="0.2">
      <c r="A24" s="37" t="s">
        <v>99</v>
      </c>
      <c r="B24" s="40">
        <v>29711</v>
      </c>
      <c r="C24" s="40">
        <v>35819</v>
      </c>
      <c r="D24" s="40">
        <f>C24-B24</f>
        <v>6108</v>
      </c>
      <c r="E24" s="217">
        <v>37980</v>
      </c>
      <c r="F24" s="70">
        <f>E24-C24</f>
        <v>2161</v>
      </c>
      <c r="G24" s="40">
        <f>+G20*G8</f>
        <v>39414.978181753941</v>
      </c>
      <c r="H24" s="40">
        <f>H25+H26</f>
        <v>36505.143762872867</v>
      </c>
      <c r="I24" s="217">
        <f>35289+121</f>
        <v>35410</v>
      </c>
    </row>
    <row r="25" spans="1:9" x14ac:dyDescent="0.2">
      <c r="A25" s="37" t="s">
        <v>97</v>
      </c>
      <c r="B25" s="40">
        <v>146</v>
      </c>
      <c r="C25" s="40">
        <v>224</v>
      </c>
      <c r="D25" s="40">
        <f>C25-B25</f>
        <v>78</v>
      </c>
      <c r="E25" s="217">
        <v>129</v>
      </c>
      <c r="F25" s="70">
        <f>E25-C25</f>
        <v>-95</v>
      </c>
      <c r="G25" s="207">
        <f>I25</f>
        <v>121</v>
      </c>
      <c r="H25" s="207">
        <f>I25</f>
        <v>121</v>
      </c>
      <c r="I25" s="217">
        <v>121</v>
      </c>
    </row>
    <row r="26" spans="1:9" x14ac:dyDescent="0.2">
      <c r="A26" s="37" t="s">
        <v>95</v>
      </c>
      <c r="B26" s="40">
        <f>B24-B25</f>
        <v>29565</v>
      </c>
      <c r="C26" s="40">
        <f>C24-C25</f>
        <v>35595</v>
      </c>
      <c r="D26" s="40">
        <f>C26-B26</f>
        <v>6030</v>
      </c>
      <c r="E26" s="40">
        <f>E24-E25</f>
        <v>37851</v>
      </c>
      <c r="F26" s="70">
        <f>E26-C26</f>
        <v>2256</v>
      </c>
      <c r="G26" s="40">
        <f>G24-G25</f>
        <v>39293.978181753941</v>
      </c>
      <c r="H26" s="154">
        <f>H29*H27</f>
        <v>36384.143762872867</v>
      </c>
      <c r="I26" s="154">
        <f>I24-I25</f>
        <v>35289</v>
      </c>
    </row>
    <row r="27" spans="1:9" x14ac:dyDescent="0.2">
      <c r="A27" s="37" t="s">
        <v>111</v>
      </c>
      <c r="B27" s="142">
        <f>B26/B29</f>
        <v>2.7744932432432434</v>
      </c>
      <c r="C27" s="142">
        <f>C26/C29</f>
        <v>2.6533730898248229</v>
      </c>
      <c r="D27" s="41"/>
      <c r="E27" s="142">
        <f>E26/E29</f>
        <v>2.5571544385893796</v>
      </c>
      <c r="F27" s="37"/>
      <c r="G27" s="142">
        <f>G26/G29</f>
        <v>2.6332840023282635</v>
      </c>
      <c r="H27" s="208">
        <f>I27</f>
        <v>2.5116725978647687</v>
      </c>
      <c r="I27" s="208">
        <f>I26/I29</f>
        <v>2.5116725978647687</v>
      </c>
    </row>
    <row r="28" spans="1:9" x14ac:dyDescent="0.2">
      <c r="A28" s="37"/>
      <c r="B28" s="40"/>
      <c r="C28" s="40"/>
      <c r="D28" s="37"/>
      <c r="E28" s="37"/>
      <c r="F28" s="37"/>
      <c r="G28" s="159"/>
      <c r="H28" s="159"/>
      <c r="I28" s="159"/>
    </row>
    <row r="29" spans="1:9" x14ac:dyDescent="0.2">
      <c r="A29" s="37" t="s">
        <v>100</v>
      </c>
      <c r="B29" s="40">
        <f>B55-B41</f>
        <v>10656</v>
      </c>
      <c r="C29" s="40">
        <f>C55-C41</f>
        <v>13415</v>
      </c>
      <c r="D29" s="40">
        <f>C29-B29</f>
        <v>2759</v>
      </c>
      <c r="E29" s="217">
        <v>14802</v>
      </c>
      <c r="F29" s="70">
        <f>E29-C29</f>
        <v>1387</v>
      </c>
      <c r="G29" s="154">
        <f>G8*G21</f>
        <v>14922.043405501076</v>
      </c>
      <c r="H29" s="223">
        <f>+AVERAGE(G29,I29)</f>
        <v>14486.021702750539</v>
      </c>
      <c r="I29" s="217">
        <v>14050</v>
      </c>
    </row>
    <row r="30" spans="1:9" x14ac:dyDescent="0.2">
      <c r="A30" s="37" t="s">
        <v>101</v>
      </c>
      <c r="B30" s="40">
        <f>B56-B45</f>
        <v>7695</v>
      </c>
      <c r="C30" s="40">
        <f>C56-C45</f>
        <v>10012</v>
      </c>
      <c r="D30" s="40">
        <f>C30-B30</f>
        <v>2317</v>
      </c>
      <c r="E30" s="217">
        <v>11186</v>
      </c>
      <c r="F30" s="70">
        <f>E30-C30</f>
        <v>1174</v>
      </c>
      <c r="G30" s="154">
        <f>G29*G32</f>
        <v>11361.994331106798</v>
      </c>
      <c r="H30" s="154">
        <f>H29*H32</f>
        <v>11029.997165553399</v>
      </c>
      <c r="I30" s="217">
        <v>10698</v>
      </c>
    </row>
    <row r="31" spans="1:9" x14ac:dyDescent="0.2">
      <c r="A31" s="37" t="s">
        <v>102</v>
      </c>
      <c r="B31" s="40">
        <f>B57-B46</f>
        <v>2961</v>
      </c>
      <c r="C31" s="40">
        <f>C57-C46</f>
        <v>3403</v>
      </c>
      <c r="D31" s="40">
        <f>C31-B31</f>
        <v>442</v>
      </c>
      <c r="E31" s="217">
        <v>3616</v>
      </c>
      <c r="F31" s="70">
        <f>E31-C31</f>
        <v>213</v>
      </c>
      <c r="G31" s="154">
        <f>G29-G30</f>
        <v>3560.0490743942773</v>
      </c>
      <c r="H31" s="154">
        <f>H29-H30</f>
        <v>3456.0245371971396</v>
      </c>
      <c r="I31" s="217">
        <v>3352</v>
      </c>
    </row>
    <row r="32" spans="1:9" x14ac:dyDescent="0.2">
      <c r="A32" s="37" t="s">
        <v>103</v>
      </c>
      <c r="B32" s="43">
        <f>B30/B29</f>
        <v>0.7221283783783784</v>
      </c>
      <c r="C32" s="43">
        <f>C30/C29</f>
        <v>0.74632873648900488</v>
      </c>
      <c r="D32" s="42"/>
      <c r="E32" s="43">
        <f>E30/E29</f>
        <v>0.75570868801513313</v>
      </c>
      <c r="F32" s="37"/>
      <c r="G32" s="203">
        <f>H32</f>
        <v>0.76142348754448397</v>
      </c>
      <c r="H32" s="203">
        <f>I32</f>
        <v>0.76142348754448397</v>
      </c>
      <c r="I32" s="203">
        <f>I30/I29</f>
        <v>0.76142348754448397</v>
      </c>
    </row>
    <row r="33" spans="1:9" x14ac:dyDescent="0.2">
      <c r="A33" s="37" t="s">
        <v>104</v>
      </c>
      <c r="B33" s="43">
        <f>B31/B29</f>
        <v>0.2778716216216216</v>
      </c>
      <c r="C33" s="43">
        <f>C31/C29</f>
        <v>0.25367126351099517</v>
      </c>
      <c r="D33" s="42"/>
      <c r="E33" s="43">
        <f>E31/E29</f>
        <v>0.24429131198486692</v>
      </c>
      <c r="F33" s="37"/>
      <c r="G33" s="203">
        <f>1-G32</f>
        <v>0.23857651245551603</v>
      </c>
      <c r="H33" s="203">
        <f>1-H32</f>
        <v>0.23857651245551603</v>
      </c>
      <c r="I33" s="203">
        <f>I31/I29</f>
        <v>0.238576512455516</v>
      </c>
    </row>
    <row r="34" spans="1:9" x14ac:dyDescent="0.2">
      <c r="A34" s="37"/>
      <c r="B34" s="40"/>
      <c r="C34" s="40"/>
      <c r="D34" s="37"/>
      <c r="E34" s="37"/>
      <c r="F34" s="37"/>
      <c r="G34" s="159"/>
      <c r="H34" s="159"/>
      <c r="I34" s="159"/>
    </row>
    <row r="35" spans="1:9" x14ac:dyDescent="0.2">
      <c r="A35" s="64" t="s">
        <v>171</v>
      </c>
      <c r="B35" s="43"/>
      <c r="C35" s="43"/>
      <c r="D35" s="37"/>
      <c r="E35" s="37"/>
      <c r="F35" s="37"/>
      <c r="G35" s="154"/>
      <c r="H35" s="154"/>
      <c r="I35" s="154"/>
    </row>
    <row r="36" spans="1:9" x14ac:dyDescent="0.2">
      <c r="A36" s="37" t="s">
        <v>105</v>
      </c>
      <c r="B36" s="40">
        <v>5699</v>
      </c>
      <c r="C36" s="40">
        <v>7789</v>
      </c>
      <c r="D36" s="40">
        <f>C36-B36</f>
        <v>2090</v>
      </c>
      <c r="E36" s="217">
        <f>9530+308</f>
        <v>9838</v>
      </c>
      <c r="F36" s="70">
        <f>E36-C36</f>
        <v>2049</v>
      </c>
      <c r="G36" s="210">
        <f>I36</f>
        <v>14705</v>
      </c>
      <c r="H36" s="210">
        <f>I36</f>
        <v>14705</v>
      </c>
      <c r="I36" s="217">
        <f>14270+435</f>
        <v>14705</v>
      </c>
    </row>
    <row r="37" spans="1:9" x14ac:dyDescent="0.2">
      <c r="A37" s="37" t="s">
        <v>106</v>
      </c>
      <c r="B37" s="43">
        <f>B36/B50</f>
        <v>0.16094323637390567</v>
      </c>
      <c r="C37" s="43">
        <f>C36/C50</f>
        <v>0.17861401577692165</v>
      </c>
      <c r="D37" s="43"/>
      <c r="E37" s="43">
        <f>E36/E50</f>
        <v>0.20573842486093102</v>
      </c>
      <c r="F37" s="43"/>
      <c r="G37" s="195">
        <f>G36/G50</f>
        <v>0.27171112210384551</v>
      </c>
      <c r="H37" s="195">
        <f>H36/H50</f>
        <v>0.28715014095822672</v>
      </c>
      <c r="I37" s="195">
        <f>I36/I50</f>
        <v>0.29342512221889655</v>
      </c>
    </row>
    <row r="38" spans="1:9" x14ac:dyDescent="0.2">
      <c r="A38" s="37" t="s">
        <v>107</v>
      </c>
      <c r="B38" s="70">
        <v>300</v>
      </c>
      <c r="C38" s="70">
        <v>345</v>
      </c>
      <c r="D38" s="40">
        <f>C38-B38</f>
        <v>45</v>
      </c>
      <c r="E38" s="217">
        <v>308</v>
      </c>
      <c r="F38" s="70">
        <f>E38-C38</f>
        <v>-37</v>
      </c>
      <c r="G38" s="154">
        <f>I38</f>
        <v>435</v>
      </c>
      <c r="H38" s="154">
        <f>I38</f>
        <v>435</v>
      </c>
      <c r="I38" s="217">
        <v>435</v>
      </c>
    </row>
    <row r="39" spans="1:9" x14ac:dyDescent="0.2">
      <c r="A39" s="37" t="s">
        <v>108</v>
      </c>
      <c r="B39" s="40">
        <f>B36-B38</f>
        <v>5399</v>
      </c>
      <c r="C39" s="40">
        <f>C36-C38</f>
        <v>7444</v>
      </c>
      <c r="D39" s="40">
        <f>C39-B39</f>
        <v>2045</v>
      </c>
      <c r="E39" s="40">
        <f>E36-E38</f>
        <v>9530</v>
      </c>
      <c r="F39" s="70">
        <f>E39-C39</f>
        <v>2086</v>
      </c>
      <c r="G39" s="154">
        <f>I39</f>
        <v>14270</v>
      </c>
      <c r="H39" s="154">
        <f>I39</f>
        <v>14270</v>
      </c>
      <c r="I39" s="154">
        <f>I36-I38</f>
        <v>14270</v>
      </c>
    </row>
    <row r="40" spans="1:9" x14ac:dyDescent="0.2">
      <c r="A40" s="37"/>
      <c r="B40" s="40"/>
      <c r="C40" s="40"/>
      <c r="D40" s="40"/>
      <c r="E40" s="40"/>
      <c r="F40" s="70"/>
      <c r="G40" s="154"/>
      <c r="H40" s="154"/>
      <c r="I40" s="154"/>
    </row>
    <row r="41" spans="1:9" x14ac:dyDescent="0.2">
      <c r="A41" s="37" t="s">
        <v>109</v>
      </c>
      <c r="B41" s="40">
        <v>3597</v>
      </c>
      <c r="C41" s="40">
        <v>4936</v>
      </c>
      <c r="D41" s="40">
        <f>C41-B41</f>
        <v>1339</v>
      </c>
      <c r="E41" s="217">
        <v>6250</v>
      </c>
      <c r="F41" s="70">
        <f>E41-C41</f>
        <v>1314</v>
      </c>
      <c r="G41" s="207">
        <f>I41</f>
        <v>9279</v>
      </c>
      <c r="H41" s="207">
        <f>I41</f>
        <v>9279</v>
      </c>
      <c r="I41" s="217">
        <v>9279</v>
      </c>
    </row>
    <row r="42" spans="1:9" x14ac:dyDescent="0.2">
      <c r="A42" s="37" t="s">
        <v>110</v>
      </c>
      <c r="B42" s="43">
        <f>B41/B55</f>
        <v>0.25236792254262258</v>
      </c>
      <c r="C42" s="43">
        <f>C41/C55</f>
        <v>0.26897716745681433</v>
      </c>
      <c r="D42" s="42"/>
      <c r="E42" s="43">
        <f>E41/E55</f>
        <v>0.29688390651719554</v>
      </c>
      <c r="F42" s="37"/>
      <c r="G42" s="43">
        <f>G41/G55</f>
        <v>0.38341322084860252</v>
      </c>
      <c r="H42" s="43">
        <f>H41/H55</f>
        <v>0.39044778145210185</v>
      </c>
      <c r="I42" s="195">
        <f>I41/I55</f>
        <v>0.39774529555488874</v>
      </c>
    </row>
    <row r="43" spans="1:9" x14ac:dyDescent="0.2">
      <c r="A43" s="37" t="s">
        <v>112</v>
      </c>
      <c r="B43" s="142">
        <f>B39/B41</f>
        <v>1.5009730330831248</v>
      </c>
      <c r="C43" s="142">
        <f>C39/C41</f>
        <v>1.5081037277147489</v>
      </c>
      <c r="D43" s="37"/>
      <c r="E43" s="142">
        <f>E39/E41</f>
        <v>1.5247999999999999</v>
      </c>
      <c r="F43" s="37"/>
      <c r="G43" s="209">
        <f>H43</f>
        <v>1.5378812372022848</v>
      </c>
      <c r="H43" s="209">
        <f>I43</f>
        <v>1.5378812372022848</v>
      </c>
      <c r="I43" s="209">
        <f>I39/I41</f>
        <v>1.5378812372022848</v>
      </c>
    </row>
    <row r="44" spans="1:9" x14ac:dyDescent="0.2">
      <c r="A44" s="37"/>
      <c r="B44" s="142"/>
      <c r="C44" s="142"/>
      <c r="D44" s="42"/>
      <c r="E44" s="42"/>
      <c r="F44" s="37"/>
      <c r="G44" s="37"/>
      <c r="H44" s="37"/>
      <c r="I44" s="37"/>
    </row>
    <row r="45" spans="1:9" x14ac:dyDescent="0.2">
      <c r="A45" s="37" t="s">
        <v>113</v>
      </c>
      <c r="B45" s="40">
        <v>3044</v>
      </c>
      <c r="C45" s="40">
        <v>4266</v>
      </c>
      <c r="D45" s="40">
        <f>C45-B45</f>
        <v>1222</v>
      </c>
      <c r="E45" s="217">
        <v>5479</v>
      </c>
      <c r="F45" s="70">
        <f>E45-C45</f>
        <v>1213</v>
      </c>
      <c r="G45" s="207">
        <f>G47*G41</f>
        <v>8187.6549697166884</v>
      </c>
      <c r="H45" s="207">
        <f>H47*H41</f>
        <v>8187.6549697166884</v>
      </c>
      <c r="I45" s="217">
        <v>8187.6549697166884</v>
      </c>
    </row>
    <row r="46" spans="1:9" x14ac:dyDescent="0.2">
      <c r="A46" s="37" t="s">
        <v>114</v>
      </c>
      <c r="B46" s="40">
        <v>553</v>
      </c>
      <c r="C46" s="40">
        <v>670</v>
      </c>
      <c r="D46" s="40">
        <f>C46-B46</f>
        <v>117</v>
      </c>
      <c r="E46" s="217">
        <v>771</v>
      </c>
      <c r="F46" s="70">
        <f>E46-C46</f>
        <v>101</v>
      </c>
      <c r="G46" s="40">
        <f>G41-G45</f>
        <v>1091.3450302833116</v>
      </c>
      <c r="H46" s="40">
        <f>H41-H45</f>
        <v>1091.3450302833116</v>
      </c>
      <c r="I46" s="217">
        <v>1134.2141329891144</v>
      </c>
    </row>
    <row r="47" spans="1:9" x14ac:dyDescent="0.2">
      <c r="A47" s="37" t="s">
        <v>115</v>
      </c>
      <c r="B47" s="43">
        <f>B45/B41</f>
        <v>0.84626077286627743</v>
      </c>
      <c r="C47" s="43">
        <f>C45/C41</f>
        <v>0.86426256077795782</v>
      </c>
      <c r="D47" s="37"/>
      <c r="E47" s="43">
        <f>E45/E41</f>
        <v>0.87663999999999997</v>
      </c>
      <c r="F47" s="37"/>
      <c r="G47" s="211">
        <f>H47</f>
        <v>0.88238549086288265</v>
      </c>
      <c r="H47" s="211">
        <f>I47</f>
        <v>0.88238549086288265</v>
      </c>
      <c r="I47" s="211">
        <f>I45/I41</f>
        <v>0.88238549086288265</v>
      </c>
    </row>
    <row r="48" spans="1:9" x14ac:dyDescent="0.2">
      <c r="A48" s="37" t="s">
        <v>116</v>
      </c>
      <c r="B48" s="43">
        <f>B46/B41</f>
        <v>0.15373922713372254</v>
      </c>
      <c r="C48" s="43">
        <f>C46/C41</f>
        <v>0.13573743922204215</v>
      </c>
      <c r="D48" s="37"/>
      <c r="E48" s="43">
        <f>E46/E41</f>
        <v>0.12336</v>
      </c>
      <c r="F48" s="37"/>
      <c r="G48" s="211">
        <f>1-G47</f>
        <v>0.11761450913711735</v>
      </c>
      <c r="H48" s="211">
        <f>1-H47</f>
        <v>0.11761450913711735</v>
      </c>
      <c r="I48" s="211">
        <f>I46/I41</f>
        <v>0.12223452236115039</v>
      </c>
    </row>
    <row r="49" spans="1:9" x14ac:dyDescent="0.2">
      <c r="A49" s="37"/>
      <c r="B49" s="43"/>
      <c r="C49" s="43"/>
      <c r="D49" s="37"/>
      <c r="E49" s="37"/>
      <c r="F49" s="37"/>
      <c r="G49" s="37"/>
      <c r="H49" s="37"/>
      <c r="I49" s="37"/>
    </row>
    <row r="50" spans="1:9" x14ac:dyDescent="0.2">
      <c r="A50" s="64" t="s">
        <v>129</v>
      </c>
      <c r="B50" s="40">
        <f>B24+B36</f>
        <v>35410</v>
      </c>
      <c r="C50" s="40">
        <f>C24+C36</f>
        <v>43608</v>
      </c>
      <c r="D50" s="40">
        <f>C50-B50</f>
        <v>8198</v>
      </c>
      <c r="E50" s="40">
        <f>E24+E36</f>
        <v>47818</v>
      </c>
      <c r="F50" s="70">
        <f>E50-C50</f>
        <v>4210</v>
      </c>
      <c r="G50" s="40">
        <f>G24+G36</f>
        <v>54119.978181753941</v>
      </c>
      <c r="H50" s="40">
        <f>H24+H36</f>
        <v>51210.143762872867</v>
      </c>
      <c r="I50" s="40">
        <f>I24+I36</f>
        <v>50115</v>
      </c>
    </row>
    <row r="51" spans="1:9" x14ac:dyDescent="0.2">
      <c r="A51" s="37" t="s">
        <v>96</v>
      </c>
      <c r="B51" s="40">
        <f>B25+B38</f>
        <v>446</v>
      </c>
      <c r="C51" s="40">
        <f>C25+C38</f>
        <v>569</v>
      </c>
      <c r="D51" s="40">
        <f>C51-B51</f>
        <v>123</v>
      </c>
      <c r="E51" s="40">
        <f>E38+E25</f>
        <v>437</v>
      </c>
      <c r="F51" s="70">
        <f>E51-C51</f>
        <v>-132</v>
      </c>
      <c r="G51" s="212">
        <f>G25+G38</f>
        <v>556</v>
      </c>
      <c r="H51" s="212">
        <f>H25+H38</f>
        <v>556</v>
      </c>
      <c r="I51" s="212">
        <f>I25+I38</f>
        <v>556</v>
      </c>
    </row>
    <row r="52" spans="1:9" x14ac:dyDescent="0.2">
      <c r="A52" s="37" t="s">
        <v>95</v>
      </c>
      <c r="B52" s="40">
        <f>B50-B51</f>
        <v>34964</v>
      </c>
      <c r="C52" s="40">
        <f>C50-C51</f>
        <v>43039</v>
      </c>
      <c r="D52" s="40">
        <f>C52-B52</f>
        <v>8075</v>
      </c>
      <c r="E52" s="40">
        <f>E50-E51</f>
        <v>47381</v>
      </c>
      <c r="F52" s="70">
        <f>E52-C52</f>
        <v>4342</v>
      </c>
      <c r="G52" s="40">
        <f>G50-G51</f>
        <v>53563.978181753941</v>
      </c>
      <c r="H52" s="40">
        <f>H50-H51</f>
        <v>50654.143762872867</v>
      </c>
      <c r="I52" s="40">
        <f>I50-I51</f>
        <v>49559</v>
      </c>
    </row>
    <row r="53" spans="1:9" x14ac:dyDescent="0.2">
      <c r="A53" s="37" t="s">
        <v>126</v>
      </c>
      <c r="B53" s="142">
        <f>B52/B55</f>
        <v>2.45309759348909</v>
      </c>
      <c r="C53" s="142">
        <f>C52/C55</f>
        <v>2.3453217808293827</v>
      </c>
      <c r="D53" s="37"/>
      <c r="E53" s="142">
        <f>E52/E55</f>
        <v>2.2506650199505986</v>
      </c>
      <c r="F53" s="37"/>
      <c r="G53" s="142">
        <f>G52/G55</f>
        <v>2.2132921000248462</v>
      </c>
      <c r="H53" s="142">
        <f>H52/H55</f>
        <v>2.1314579214968785</v>
      </c>
      <c r="I53" s="142">
        <f>I52/I55</f>
        <v>2.1243516653092716</v>
      </c>
    </row>
    <row r="54" spans="1:9" x14ac:dyDescent="0.2">
      <c r="A54" s="37"/>
      <c r="B54" s="43"/>
      <c r="C54" s="43"/>
      <c r="D54" s="37"/>
      <c r="E54" s="37"/>
      <c r="F54" s="37"/>
      <c r="G54" s="37"/>
      <c r="H54" s="37"/>
      <c r="I54" s="37"/>
    </row>
    <row r="55" spans="1:9" x14ac:dyDescent="0.2">
      <c r="A55" s="64" t="s">
        <v>58</v>
      </c>
      <c r="B55" s="40">
        <v>14253</v>
      </c>
      <c r="C55" s="40">
        <v>18351</v>
      </c>
      <c r="D55" s="40">
        <f>C55-B55</f>
        <v>4098</v>
      </c>
      <c r="E55" s="40">
        <f>E29+E41</f>
        <v>21052</v>
      </c>
      <c r="F55" s="70">
        <f>E55-C55</f>
        <v>2701</v>
      </c>
      <c r="G55" s="40">
        <f>G29+G41</f>
        <v>24201.043405501077</v>
      </c>
      <c r="H55" s="40">
        <f>H29+H41</f>
        <v>23765.021702750539</v>
      </c>
      <c r="I55" s="40">
        <f>I29+I41</f>
        <v>23329</v>
      </c>
    </row>
    <row r="56" spans="1:9" x14ac:dyDescent="0.2">
      <c r="A56" s="37" t="s">
        <v>101</v>
      </c>
      <c r="B56" s="40">
        <v>10739</v>
      </c>
      <c r="C56" s="40">
        <v>14278</v>
      </c>
      <c r="D56" s="40">
        <f>C56-B56</f>
        <v>3539</v>
      </c>
      <c r="E56" s="40">
        <f>E30+E45</f>
        <v>16665</v>
      </c>
      <c r="F56" s="70">
        <f>E56-C56</f>
        <v>2387</v>
      </c>
      <c r="G56" s="40">
        <f>G30+G45</f>
        <v>19549.649300823487</v>
      </c>
      <c r="H56" s="40">
        <f>H30+H45</f>
        <v>19217.652135270087</v>
      </c>
      <c r="I56" s="40">
        <f>I30+I45</f>
        <v>18885.654969716688</v>
      </c>
    </row>
    <row r="57" spans="1:9" x14ac:dyDescent="0.2">
      <c r="A57" s="37" t="s">
        <v>102</v>
      </c>
      <c r="B57" s="40">
        <v>3514</v>
      </c>
      <c r="C57" s="40">
        <v>4073</v>
      </c>
      <c r="D57" s="40">
        <f>C57-B57</f>
        <v>559</v>
      </c>
      <c r="E57" s="40">
        <f>E31+E46</f>
        <v>4387</v>
      </c>
      <c r="F57" s="70">
        <f>E57-C57</f>
        <v>314</v>
      </c>
      <c r="G57" s="40">
        <f>G31+G46</f>
        <v>4651.394104677589</v>
      </c>
      <c r="H57" s="40">
        <f>H31+H46</f>
        <v>4547.3695674804512</v>
      </c>
      <c r="I57" s="40">
        <f>I55-I56</f>
        <v>4443.3450302833116</v>
      </c>
    </row>
    <row r="58" spans="1:9" x14ac:dyDescent="0.2">
      <c r="A58" s="37" t="s">
        <v>103</v>
      </c>
      <c r="B58" s="43">
        <f>B56/B55</f>
        <v>0.75345541289553075</v>
      </c>
      <c r="C58" s="43">
        <f>C56/C55</f>
        <v>0.77805024249359711</v>
      </c>
      <c r="D58" s="37"/>
      <c r="E58" s="43">
        <f>E56/E55</f>
        <v>0.79161124833745011</v>
      </c>
      <c r="F58" s="37"/>
      <c r="G58" s="43">
        <f>G56/G55</f>
        <v>0.80780191883709052</v>
      </c>
      <c r="H58" s="43">
        <f>H56/H55</f>
        <v>0.80865283338015448</v>
      </c>
      <c r="I58" s="43">
        <f>I56/I55</f>
        <v>0.80953555530527188</v>
      </c>
    </row>
    <row r="59" spans="1:9" x14ac:dyDescent="0.2">
      <c r="A59" s="37" t="s">
        <v>104</v>
      </c>
      <c r="B59" s="43">
        <f>B57/B55</f>
        <v>0.24654458710446925</v>
      </c>
      <c r="C59" s="43">
        <f>C57/C55</f>
        <v>0.22194975750640292</v>
      </c>
      <c r="D59" s="37"/>
      <c r="E59" s="43">
        <f>E57/E55</f>
        <v>0.20838875166254989</v>
      </c>
      <c r="F59" s="37"/>
      <c r="G59" s="43">
        <f>1-G58</f>
        <v>0.19219808116290948</v>
      </c>
      <c r="H59" s="43">
        <f>1-H58</f>
        <v>0.19134716661984552</v>
      </c>
      <c r="I59" s="43">
        <f>1-I58</f>
        <v>0.19046444469472812</v>
      </c>
    </row>
    <row r="60" spans="1:9" ht="15.75" x14ac:dyDescent="0.2">
      <c r="A60" s="213"/>
      <c r="B60" s="213"/>
      <c r="C60" s="213"/>
      <c r="D60" s="214"/>
      <c r="E60" s="215"/>
      <c r="F60" s="214"/>
      <c r="G60" s="215"/>
      <c r="H60" s="215"/>
      <c r="I60" s="216"/>
    </row>
    <row r="61" spans="1:9" x14ac:dyDescent="0.2">
      <c r="A61" s="64" t="s">
        <v>93</v>
      </c>
      <c r="B61" s="40"/>
      <c r="C61" s="40"/>
      <c r="D61" s="40"/>
      <c r="E61" s="40"/>
      <c r="F61" s="37"/>
      <c r="G61" s="40"/>
      <c r="H61" s="40"/>
      <c r="I61" s="40"/>
    </row>
    <row r="62" spans="1:9" x14ac:dyDescent="0.2">
      <c r="A62" s="37" t="s">
        <v>1</v>
      </c>
      <c r="B62" s="40">
        <v>526</v>
      </c>
      <c r="C62" s="40">
        <v>335</v>
      </c>
      <c r="D62" s="40">
        <f t="shared" ref="D62:D68" si="0">C62-B62</f>
        <v>-191</v>
      </c>
      <c r="E62" s="40">
        <v>599</v>
      </c>
      <c r="F62" s="40">
        <f>+E62-C62</f>
        <v>264</v>
      </c>
      <c r="G62" s="40">
        <f t="shared" ref="G62:I63" si="1">G56/(1-G70)-G56</f>
        <v>197.47120505882413</v>
      </c>
      <c r="H62" s="40">
        <f t="shared" si="1"/>
        <v>194.11769833606013</v>
      </c>
      <c r="I62" s="40">
        <f t="shared" si="1"/>
        <v>190.76419161329977</v>
      </c>
    </row>
    <row r="63" spans="1:9" x14ac:dyDescent="0.2">
      <c r="A63" s="37" t="s">
        <v>2</v>
      </c>
      <c r="B63" s="40">
        <v>979</v>
      </c>
      <c r="C63" s="40">
        <v>334</v>
      </c>
      <c r="D63" s="40">
        <f t="shared" si="0"/>
        <v>-645</v>
      </c>
      <c r="E63" s="40">
        <v>579</v>
      </c>
      <c r="F63" s="40">
        <f t="shared" ref="F63:F68" si="2">+E63-C63</f>
        <v>245</v>
      </c>
      <c r="G63" s="40">
        <f t="shared" si="1"/>
        <v>193.80808769489977</v>
      </c>
      <c r="H63" s="40">
        <f t="shared" si="1"/>
        <v>189.47373197835259</v>
      </c>
      <c r="I63" s="40">
        <f t="shared" si="1"/>
        <v>185.1393762618045</v>
      </c>
    </row>
    <row r="64" spans="1:9" x14ac:dyDescent="0.2">
      <c r="A64" s="37" t="s">
        <v>8</v>
      </c>
      <c r="B64" s="40">
        <v>210</v>
      </c>
      <c r="C64" s="40">
        <v>125</v>
      </c>
      <c r="D64" s="40">
        <f t="shared" si="0"/>
        <v>-85</v>
      </c>
      <c r="E64" s="139">
        <v>142</v>
      </c>
      <c r="F64" s="40">
        <f t="shared" si="2"/>
        <v>17</v>
      </c>
      <c r="G64" s="140" t="s">
        <v>32</v>
      </c>
      <c r="H64" s="40"/>
      <c r="I64" s="40"/>
    </row>
    <row r="65" spans="1:14" x14ac:dyDescent="0.2">
      <c r="A65" s="37" t="s">
        <v>10</v>
      </c>
      <c r="B65" s="40">
        <v>15310</v>
      </c>
      <c r="C65" s="40">
        <v>14887</v>
      </c>
      <c r="D65" s="40">
        <f t="shared" si="0"/>
        <v>-423</v>
      </c>
      <c r="E65" s="139">
        <v>16794</v>
      </c>
      <c r="F65" s="40">
        <f t="shared" si="2"/>
        <v>1907</v>
      </c>
      <c r="G65" s="140" t="s">
        <v>32</v>
      </c>
      <c r="H65" s="40"/>
      <c r="I65" s="40"/>
    </row>
    <row r="66" spans="1:14" x14ac:dyDescent="0.2">
      <c r="A66" s="37" t="s">
        <v>7</v>
      </c>
      <c r="B66" s="40">
        <v>868</v>
      </c>
      <c r="C66" s="40">
        <v>718</v>
      </c>
      <c r="D66" s="40">
        <f t="shared" si="0"/>
        <v>-150</v>
      </c>
      <c r="E66" s="139">
        <v>645</v>
      </c>
      <c r="F66" s="40">
        <f t="shared" si="2"/>
        <v>-73</v>
      </c>
      <c r="G66" s="140" t="s">
        <v>32</v>
      </c>
      <c r="H66" s="40"/>
      <c r="I66" s="40"/>
    </row>
    <row r="67" spans="1:14" x14ac:dyDescent="0.2">
      <c r="A67" s="37" t="s">
        <v>11</v>
      </c>
      <c r="B67" s="40">
        <f>SUM(B62:B66)</f>
        <v>17893</v>
      </c>
      <c r="C67" s="40">
        <f>SUM(C62:C66)</f>
        <v>16399</v>
      </c>
      <c r="D67" s="40">
        <f t="shared" si="0"/>
        <v>-1494</v>
      </c>
      <c r="E67" s="139">
        <v>18761</v>
      </c>
      <c r="F67" s="40">
        <f t="shared" si="2"/>
        <v>2362</v>
      </c>
      <c r="G67" s="140" t="s">
        <v>32</v>
      </c>
      <c r="H67" s="40"/>
      <c r="I67" s="40"/>
    </row>
    <row r="68" spans="1:14" x14ac:dyDescent="0.2">
      <c r="A68" s="37" t="s">
        <v>9</v>
      </c>
      <c r="B68" s="40">
        <v>30306</v>
      </c>
      <c r="C68" s="40">
        <v>32121</v>
      </c>
      <c r="D68" s="40">
        <f t="shared" si="0"/>
        <v>1815</v>
      </c>
      <c r="E68" s="139">
        <v>39813</v>
      </c>
      <c r="F68" s="40">
        <f t="shared" si="2"/>
        <v>7692</v>
      </c>
      <c r="G68" s="140" t="s">
        <v>32</v>
      </c>
      <c r="H68" s="40"/>
      <c r="I68" s="40"/>
    </row>
    <row r="69" spans="1:14" ht="14.25" x14ac:dyDescent="0.2">
      <c r="A69" s="37"/>
      <c r="B69" s="174"/>
      <c r="C69" s="174"/>
      <c r="D69" s="37"/>
      <c r="E69" s="42"/>
      <c r="F69" s="37"/>
      <c r="G69" s="43"/>
      <c r="H69" s="43"/>
      <c r="I69" s="43"/>
      <c r="J69" s="6"/>
      <c r="K69" s="7"/>
      <c r="L69" s="6"/>
      <c r="M69" s="4"/>
    </row>
    <row r="70" spans="1:14" x14ac:dyDescent="0.2">
      <c r="A70" s="37" t="s">
        <v>4</v>
      </c>
      <c r="B70" s="43">
        <f>B62/B81</f>
        <v>4.6693297825122063E-2</v>
      </c>
      <c r="C70" s="43">
        <f>C62/C81</f>
        <v>2.2924792992540889E-2</v>
      </c>
      <c r="D70" s="42"/>
      <c r="E70" s="43">
        <f>E62/E81</f>
        <v>3.4696478220574603E-2</v>
      </c>
      <c r="F70" s="37"/>
      <c r="G70" s="218">
        <v>0.01</v>
      </c>
      <c r="H70" s="43">
        <f>G70</f>
        <v>0.01</v>
      </c>
      <c r="I70" s="43">
        <f>H70</f>
        <v>0.01</v>
      </c>
      <c r="M70" s="4"/>
    </row>
    <row r="71" spans="1:14" x14ac:dyDescent="0.2">
      <c r="A71" s="37" t="s">
        <v>3</v>
      </c>
      <c r="B71" s="43">
        <f>B63/B82</f>
        <v>0.21789450255953705</v>
      </c>
      <c r="C71" s="43">
        <f>C63/C82</f>
        <v>7.5788518266394378E-2</v>
      </c>
      <c r="D71" s="42"/>
      <c r="E71" s="43">
        <f>E63/E82</f>
        <v>0.11659283125251711</v>
      </c>
      <c r="F71" s="37"/>
      <c r="G71" s="218">
        <v>0.04</v>
      </c>
      <c r="H71" s="43">
        <f>G71</f>
        <v>0.04</v>
      </c>
      <c r="I71" s="43">
        <f>H71</f>
        <v>0.04</v>
      </c>
      <c r="J71" s="4"/>
    </row>
    <row r="72" spans="1:14" x14ac:dyDescent="0.2">
      <c r="A72" s="37" t="s">
        <v>5</v>
      </c>
      <c r="B72" s="43">
        <f>(B62+B63)/B83</f>
        <v>9.5507044041121966E-2</v>
      </c>
      <c r="C72" s="43">
        <f>(C62+C63)/C83</f>
        <v>3.5173501577287068E-2</v>
      </c>
      <c r="D72" s="42"/>
      <c r="E72" s="43">
        <f>(E62+E63)/E83</f>
        <v>5.2991452991452991E-2</v>
      </c>
      <c r="F72" s="37"/>
      <c r="G72" s="43">
        <f>(G62+G63)/G83</f>
        <v>1.584055716747982E-2</v>
      </c>
      <c r="H72" s="43">
        <f>(H62+H63)/H83</f>
        <v>1.5813379655294679E-2</v>
      </c>
      <c r="I72" s="43">
        <f>(I62+I63)/I83</f>
        <v>1.578518937076347E-2</v>
      </c>
    </row>
    <row r="73" spans="1:14" x14ac:dyDescent="0.2">
      <c r="A73" s="37"/>
      <c r="B73" s="43"/>
      <c r="C73" s="43"/>
      <c r="D73" s="42"/>
      <c r="E73" s="42"/>
      <c r="F73" s="37"/>
      <c r="G73" s="37"/>
      <c r="H73" s="37"/>
      <c r="I73" s="37"/>
      <c r="K73" s="7"/>
      <c r="L73" s="6"/>
      <c r="M73" s="4"/>
    </row>
    <row r="74" spans="1:14" x14ac:dyDescent="0.2">
      <c r="A74" s="37"/>
      <c r="B74" s="43"/>
      <c r="C74" s="43"/>
      <c r="D74" s="42"/>
      <c r="E74" s="42"/>
      <c r="F74" s="37"/>
      <c r="G74" s="37"/>
      <c r="H74" s="37"/>
      <c r="I74" s="37"/>
      <c r="K74" s="7"/>
      <c r="L74" s="6"/>
      <c r="M74" s="4"/>
    </row>
    <row r="75" spans="1:14" x14ac:dyDescent="0.2">
      <c r="A75" s="37" t="s">
        <v>38</v>
      </c>
      <c r="B75" s="43"/>
      <c r="C75" s="43"/>
      <c r="D75" s="42"/>
      <c r="E75" s="42"/>
      <c r="F75" s="37"/>
      <c r="G75" s="154">
        <f>0.0005*8*E81</f>
        <v>69.055999999999997</v>
      </c>
      <c r="H75" s="154">
        <f>G75</f>
        <v>69.055999999999997</v>
      </c>
      <c r="I75" s="154">
        <f>H75</f>
        <v>69.055999999999997</v>
      </c>
      <c r="K75" s="4"/>
      <c r="L75" s="4"/>
      <c r="M75" s="4"/>
      <c r="N75" s="4"/>
    </row>
    <row r="76" spans="1:14" x14ac:dyDescent="0.2">
      <c r="A76" s="37" t="s">
        <v>39</v>
      </c>
      <c r="B76" s="43"/>
      <c r="C76" s="43"/>
      <c r="D76" s="42"/>
      <c r="E76" s="42"/>
      <c r="F76" s="37"/>
      <c r="G76" s="154">
        <f>0.001*8*E82</f>
        <v>39.728000000000002</v>
      </c>
      <c r="H76" s="154">
        <f>G76</f>
        <v>39.728000000000002</v>
      </c>
      <c r="I76" s="154">
        <f>H76</f>
        <v>39.728000000000002</v>
      </c>
      <c r="K76" s="4"/>
      <c r="L76" s="4"/>
      <c r="M76" s="4"/>
      <c r="N76" s="4"/>
    </row>
    <row r="77" spans="1:14" x14ac:dyDescent="0.2">
      <c r="A77" s="37" t="s">
        <v>47</v>
      </c>
      <c r="B77" s="43"/>
      <c r="C77" s="43"/>
      <c r="D77" s="42"/>
      <c r="E77" s="42"/>
      <c r="F77" s="37"/>
      <c r="G77" s="154">
        <f>G75+G76</f>
        <v>108.78399999999999</v>
      </c>
      <c r="H77" s="154">
        <f>H75+H76</f>
        <v>108.78399999999999</v>
      </c>
      <c r="I77" s="154">
        <f>I75+I76</f>
        <v>108.78399999999999</v>
      </c>
      <c r="J77" s="4"/>
      <c r="K77" s="4"/>
      <c r="L77" s="4"/>
      <c r="M77" s="4"/>
    </row>
    <row r="78" spans="1:14" x14ac:dyDescent="0.2">
      <c r="A78" s="31"/>
      <c r="B78" s="38"/>
      <c r="C78" s="38"/>
      <c r="D78" s="44"/>
      <c r="E78" s="44"/>
      <c r="F78" s="31"/>
      <c r="G78" s="45"/>
      <c r="H78" s="45"/>
      <c r="I78" s="45"/>
      <c r="J78" s="6"/>
      <c r="K78" s="7"/>
      <c r="L78" s="6"/>
      <c r="M78" s="4"/>
    </row>
    <row r="79" spans="1:14" x14ac:dyDescent="0.2">
      <c r="A79" s="31"/>
      <c r="B79" s="38"/>
      <c r="C79" s="38"/>
      <c r="D79" s="44"/>
      <c r="E79" s="44"/>
      <c r="F79" s="33"/>
      <c r="G79" s="46">
        <v>2020</v>
      </c>
      <c r="H79" s="22">
        <v>2020</v>
      </c>
      <c r="I79" s="47">
        <v>2020</v>
      </c>
      <c r="J79" s="6"/>
      <c r="K79" s="7"/>
      <c r="L79" s="6"/>
      <c r="M79" s="4"/>
    </row>
    <row r="80" spans="1:14" ht="43.5" customHeight="1" x14ac:dyDescent="0.2">
      <c r="A80" s="48" t="s">
        <v>64</v>
      </c>
      <c r="B80" s="48">
        <v>1990</v>
      </c>
      <c r="C80" s="48">
        <v>2000</v>
      </c>
      <c r="D80" s="29" t="s">
        <v>117</v>
      </c>
      <c r="E80" s="48">
        <v>2010</v>
      </c>
      <c r="F80" s="49" t="s">
        <v>44</v>
      </c>
      <c r="G80" s="50" t="s">
        <v>35</v>
      </c>
      <c r="H80" s="51" t="s">
        <v>36</v>
      </c>
      <c r="I80" s="50" t="s">
        <v>37</v>
      </c>
      <c r="J80" s="6"/>
      <c r="K80" s="7"/>
      <c r="L80" s="6"/>
      <c r="M80" s="4"/>
    </row>
    <row r="81" spans="1:13" ht="15" x14ac:dyDescent="0.25">
      <c r="A81" s="31" t="s">
        <v>13</v>
      </c>
      <c r="B81" s="32">
        <f>B56+B62</f>
        <v>11265</v>
      </c>
      <c r="C81" s="32">
        <f>C56+C62</f>
        <v>14613</v>
      </c>
      <c r="D81" s="32">
        <f>C81-B81</f>
        <v>3348</v>
      </c>
      <c r="E81" s="32">
        <f>E56+E62</f>
        <v>17264</v>
      </c>
      <c r="F81" s="52" t="s">
        <v>41</v>
      </c>
      <c r="G81" s="53">
        <f t="shared" ref="G81:I82" si="3">G56+G62+G75</f>
        <v>19816.176505882311</v>
      </c>
      <c r="H81" s="53">
        <f t="shared" si="3"/>
        <v>19480.825833606148</v>
      </c>
      <c r="I81" s="53">
        <f t="shared" si="3"/>
        <v>19145.475161329989</v>
      </c>
      <c r="J81" s="5"/>
      <c r="K81" s="5"/>
      <c r="L81" s="5"/>
      <c r="M81" s="4"/>
    </row>
    <row r="82" spans="1:13" ht="15" x14ac:dyDescent="0.25">
      <c r="A82" s="31" t="s">
        <v>14</v>
      </c>
      <c r="B82" s="32">
        <f>B57+B63</f>
        <v>4493</v>
      </c>
      <c r="C82" s="32">
        <f>C57+C63</f>
        <v>4407</v>
      </c>
      <c r="D82" s="32">
        <f>C82-B82</f>
        <v>-86</v>
      </c>
      <c r="E82" s="32">
        <f>E57+E63</f>
        <v>4966</v>
      </c>
      <c r="F82" s="52" t="s">
        <v>43</v>
      </c>
      <c r="G82" s="53">
        <f t="shared" si="3"/>
        <v>4884.9301923724888</v>
      </c>
      <c r="H82" s="53">
        <f t="shared" si="3"/>
        <v>4776.5712994588039</v>
      </c>
      <c r="I82" s="53">
        <f t="shared" si="3"/>
        <v>4668.2124065451162</v>
      </c>
      <c r="J82" s="5"/>
      <c r="K82" s="5"/>
      <c r="L82" s="5"/>
      <c r="M82" s="4"/>
    </row>
    <row r="83" spans="1:13" ht="15" x14ac:dyDescent="0.25">
      <c r="A83" s="31" t="s">
        <v>12</v>
      </c>
      <c r="B83" s="32">
        <f>B81+B82</f>
        <v>15758</v>
      </c>
      <c r="C83" s="32">
        <f>C81+C82</f>
        <v>19020</v>
      </c>
      <c r="D83" s="32">
        <f>C83-B83</f>
        <v>3262</v>
      </c>
      <c r="E83" s="32">
        <f>E81+E82</f>
        <v>22230</v>
      </c>
      <c r="F83" s="52" t="s">
        <v>42</v>
      </c>
      <c r="G83" s="53">
        <f>G81+G82</f>
        <v>24701.1066982548</v>
      </c>
      <c r="H83" s="53">
        <f>H81+H82</f>
        <v>24257.397133064951</v>
      </c>
      <c r="I83" s="53">
        <f>I81+I82</f>
        <v>23813.687567875106</v>
      </c>
      <c r="J83" s="5"/>
      <c r="K83" s="5"/>
      <c r="L83" s="5"/>
      <c r="M83" s="4"/>
    </row>
    <row r="84" spans="1:13" x14ac:dyDescent="0.2">
      <c r="A84" s="31"/>
      <c r="B84" s="32"/>
      <c r="C84" s="32"/>
      <c r="D84" s="32"/>
      <c r="E84" s="32"/>
      <c r="F84" s="54" t="s">
        <v>205</v>
      </c>
      <c r="G84" s="75"/>
      <c r="H84" s="76"/>
      <c r="I84" s="77"/>
      <c r="J84" s="4"/>
      <c r="K84" s="4"/>
      <c r="L84" s="4"/>
      <c r="M84" s="4"/>
    </row>
    <row r="85" spans="1:13" ht="25.5" x14ac:dyDescent="0.2">
      <c r="A85" s="31"/>
      <c r="B85" s="32"/>
      <c r="C85" s="39"/>
      <c r="D85" s="31"/>
      <c r="E85" s="31"/>
      <c r="F85" s="49" t="s">
        <v>44</v>
      </c>
      <c r="G85" s="78" t="s">
        <v>35</v>
      </c>
      <c r="H85" s="79" t="s">
        <v>36</v>
      </c>
      <c r="I85" s="78" t="s">
        <v>37</v>
      </c>
      <c r="J85" s="4"/>
      <c r="K85" s="4"/>
      <c r="L85" s="4"/>
    </row>
    <row r="86" spans="1:13" x14ac:dyDescent="0.2">
      <c r="A86" s="31"/>
      <c r="B86" s="31"/>
      <c r="C86" s="31"/>
      <c r="D86" s="31"/>
      <c r="E86" s="31"/>
      <c r="F86" s="52" t="s">
        <v>41</v>
      </c>
      <c r="G86" s="53">
        <f>G81-E81</f>
        <v>2552.1765058823112</v>
      </c>
      <c r="H86" s="53">
        <f>H81-E81</f>
        <v>2216.8258336061481</v>
      </c>
      <c r="I86" s="53">
        <f>I81-E81</f>
        <v>1881.4751613299886</v>
      </c>
      <c r="J86" s="4"/>
      <c r="K86" s="4"/>
      <c r="L86" s="4"/>
    </row>
    <row r="87" spans="1:13" x14ac:dyDescent="0.2">
      <c r="A87" s="31"/>
      <c r="B87" s="31"/>
      <c r="C87" s="31"/>
      <c r="D87" s="31"/>
      <c r="E87" s="31"/>
      <c r="F87" s="52" t="s">
        <v>43</v>
      </c>
      <c r="G87" s="53">
        <f>G82-E82</f>
        <v>-81.069807627511182</v>
      </c>
      <c r="H87" s="53">
        <f>H82-E82</f>
        <v>-189.42870054119612</v>
      </c>
      <c r="I87" s="53">
        <f>I82-E82</f>
        <v>-297.78759345488379</v>
      </c>
      <c r="J87" s="4"/>
      <c r="K87" s="4"/>
      <c r="L87" s="4"/>
    </row>
    <row r="88" spans="1:13" x14ac:dyDescent="0.2">
      <c r="A88" s="31"/>
      <c r="B88" s="31"/>
      <c r="C88" s="31"/>
      <c r="D88" s="31"/>
      <c r="E88" s="31"/>
      <c r="F88" s="52" t="s">
        <v>42</v>
      </c>
      <c r="G88" s="53">
        <f>G83-E83</f>
        <v>2471.1066982548</v>
      </c>
      <c r="H88" s="53">
        <f>H83-E83</f>
        <v>2027.397133064951</v>
      </c>
      <c r="I88" s="53">
        <f>I83-E83</f>
        <v>1583.6875678751057</v>
      </c>
      <c r="J88" s="4"/>
      <c r="K88" s="4"/>
      <c r="L88" s="4"/>
    </row>
    <row r="89" spans="1:13" x14ac:dyDescent="0.2">
      <c r="A89" s="31"/>
      <c r="B89" s="38"/>
      <c r="C89" s="38"/>
      <c r="D89" s="31"/>
      <c r="E89" s="31"/>
      <c r="F89" s="35" t="s">
        <v>91</v>
      </c>
      <c r="G89" s="36"/>
      <c r="H89" s="36"/>
      <c r="I89" s="55"/>
      <c r="J89" s="4"/>
      <c r="K89" s="4"/>
      <c r="L89" s="4"/>
    </row>
    <row r="90" spans="1:13" x14ac:dyDescent="0.2">
      <c r="A90" s="31"/>
      <c r="B90" s="38"/>
      <c r="C90" s="38"/>
      <c r="D90" s="31"/>
      <c r="E90" s="31"/>
      <c r="F90" s="52" t="s">
        <v>41</v>
      </c>
      <c r="G90" s="53">
        <f t="shared" ref="G90:I91" si="4">(1-$G$16)*G86</f>
        <v>1951.2789741910231</v>
      </c>
      <c r="H90" s="53">
        <f t="shared" si="4"/>
        <v>1694.8849848704911</v>
      </c>
      <c r="I90" s="53">
        <f t="shared" si="4"/>
        <v>1438.4909955499622</v>
      </c>
      <c r="J90" s="4"/>
      <c r="K90" s="4"/>
      <c r="L90" s="4"/>
    </row>
    <row r="91" spans="1:13" x14ac:dyDescent="0.2">
      <c r="A91" s="31"/>
      <c r="B91" s="38"/>
      <c r="C91" s="38"/>
      <c r="D91" s="31"/>
      <c r="E91" s="31"/>
      <c r="F91" s="52" t="s">
        <v>43</v>
      </c>
      <c r="G91" s="53">
        <f t="shared" si="4"/>
        <v>-61.982316152771688</v>
      </c>
      <c r="H91" s="53">
        <f t="shared" si="4"/>
        <v>-144.82863533240609</v>
      </c>
      <c r="I91" s="53">
        <f t="shared" si="4"/>
        <v>-227.6749545120426</v>
      </c>
      <c r="J91" s="4"/>
      <c r="K91" s="4"/>
      <c r="L91" s="4"/>
    </row>
    <row r="92" spans="1:13" x14ac:dyDescent="0.2">
      <c r="A92" s="31"/>
      <c r="B92" s="38"/>
      <c r="C92" s="38"/>
      <c r="D92" s="31"/>
      <c r="E92" s="31"/>
      <c r="F92" s="52" t="s">
        <v>42</v>
      </c>
      <c r="G92" s="53">
        <f>G90+G91</f>
        <v>1889.2966580382513</v>
      </c>
      <c r="H92" s="53">
        <f>H90+H91</f>
        <v>1550.056349538085</v>
      </c>
      <c r="I92" s="53">
        <f>I90+I91</f>
        <v>1210.8160410379196</v>
      </c>
      <c r="J92" s="4"/>
      <c r="K92" s="4"/>
      <c r="L92" s="4"/>
    </row>
    <row r="93" spans="1:13" ht="14.25" x14ac:dyDescent="0.2">
      <c r="A93" s="30"/>
      <c r="B93" s="67"/>
      <c r="C93" s="67"/>
      <c r="D93" s="30"/>
      <c r="E93" s="30"/>
      <c r="F93" s="69"/>
      <c r="G93" s="72"/>
      <c r="H93" s="72"/>
      <c r="I93" s="74"/>
      <c r="J93" s="4"/>
      <c r="K93" s="4"/>
      <c r="L93" s="4"/>
    </row>
    <row r="94" spans="1:13" ht="14.25" x14ac:dyDescent="0.2">
      <c r="A94" s="30"/>
      <c r="B94" s="67"/>
      <c r="C94" s="67"/>
      <c r="D94" s="30"/>
      <c r="E94" s="30"/>
      <c r="F94" s="69"/>
      <c r="G94" s="72"/>
      <c r="H94" s="72"/>
      <c r="I94" s="74"/>
      <c r="J94" s="4"/>
      <c r="K94" s="4"/>
      <c r="L94" s="4"/>
    </row>
    <row r="95" spans="1:13" ht="25.5" x14ac:dyDescent="0.2">
      <c r="A95" s="184" t="s">
        <v>155</v>
      </c>
      <c r="B95" s="181">
        <v>1990</v>
      </c>
      <c r="C95" s="182">
        <v>2000</v>
      </c>
      <c r="D95" s="183" t="s">
        <v>117</v>
      </c>
      <c r="E95" s="48">
        <v>2010</v>
      </c>
      <c r="F95" s="34"/>
      <c r="G95" s="175"/>
      <c r="H95" s="176" t="s">
        <v>185</v>
      </c>
      <c r="I95" s="177"/>
      <c r="K95" s="178"/>
      <c r="L95" s="179" t="s">
        <v>186</v>
      </c>
      <c r="M95" s="180"/>
    </row>
    <row r="96" spans="1:13" x14ac:dyDescent="0.2">
      <c r="A96" s="21" t="s">
        <v>150</v>
      </c>
      <c r="B96" s="32">
        <f t="shared" ref="B96:C98" si="5">B29</f>
        <v>10656</v>
      </c>
      <c r="C96" s="32">
        <f t="shared" si="5"/>
        <v>13415</v>
      </c>
      <c r="D96" s="32">
        <f>C96-B96</f>
        <v>2759</v>
      </c>
      <c r="E96" s="32">
        <f t="shared" ref="E96:I98" si="6">E29</f>
        <v>14802</v>
      </c>
      <c r="F96" s="34"/>
      <c r="G96" s="32">
        <f t="shared" si="6"/>
        <v>14922.043405501076</v>
      </c>
      <c r="H96" s="32">
        <f t="shared" si="6"/>
        <v>14486.021702750539</v>
      </c>
      <c r="I96" s="32">
        <f t="shared" si="6"/>
        <v>14050</v>
      </c>
      <c r="K96" s="3">
        <f>G96-E96</f>
        <v>120.04340550107554</v>
      </c>
      <c r="L96" s="3">
        <f>H96-E96</f>
        <v>-315.97829724946132</v>
      </c>
      <c r="M96" s="3">
        <f>I96-E96</f>
        <v>-752</v>
      </c>
    </row>
    <row r="97" spans="1:13" x14ac:dyDescent="0.2">
      <c r="A97" s="31" t="s">
        <v>151</v>
      </c>
      <c r="B97" s="32">
        <f t="shared" si="5"/>
        <v>7695</v>
      </c>
      <c r="C97" s="32">
        <f t="shared" si="5"/>
        <v>10012</v>
      </c>
      <c r="D97" s="32">
        <f>C97-B97</f>
        <v>2317</v>
      </c>
      <c r="E97" s="32">
        <f t="shared" si="6"/>
        <v>11186</v>
      </c>
      <c r="F97" s="34"/>
      <c r="G97" s="32">
        <f t="shared" si="6"/>
        <v>11361.994331106798</v>
      </c>
      <c r="H97" s="32">
        <f t="shared" si="6"/>
        <v>11029.997165553399</v>
      </c>
      <c r="I97" s="32">
        <f t="shared" si="6"/>
        <v>10698</v>
      </c>
      <c r="K97" s="3">
        <f t="shared" ref="K97:K106" si="7">G97-E97</f>
        <v>175.9943311067982</v>
      </c>
      <c r="L97" s="3">
        <f t="shared" ref="L97:L106" si="8">H97-E97</f>
        <v>-156.0028344466009</v>
      </c>
      <c r="M97" s="3">
        <f t="shared" ref="M97:M106" si="9">I97-E97</f>
        <v>-488</v>
      </c>
    </row>
    <row r="98" spans="1:13" x14ac:dyDescent="0.2">
      <c r="A98" s="31" t="s">
        <v>152</v>
      </c>
      <c r="B98" s="32">
        <f t="shared" si="5"/>
        <v>2961</v>
      </c>
      <c r="C98" s="32">
        <f t="shared" si="5"/>
        <v>3403</v>
      </c>
      <c r="D98" s="32">
        <f>C98-B98</f>
        <v>442</v>
      </c>
      <c r="E98" s="32">
        <f t="shared" si="6"/>
        <v>3616</v>
      </c>
      <c r="F98" s="34"/>
      <c r="G98" s="32">
        <f t="shared" si="6"/>
        <v>3560.0490743942773</v>
      </c>
      <c r="H98" s="32">
        <f t="shared" si="6"/>
        <v>3456.0245371971396</v>
      </c>
      <c r="I98" s="32">
        <f t="shared" si="6"/>
        <v>3352</v>
      </c>
      <c r="K98" s="3">
        <f t="shared" si="7"/>
        <v>-55.950925605722659</v>
      </c>
      <c r="L98" s="3">
        <f t="shared" si="8"/>
        <v>-159.97546280286042</v>
      </c>
      <c r="M98" s="3">
        <f t="shared" si="9"/>
        <v>-264</v>
      </c>
    </row>
    <row r="99" spans="1:13" x14ac:dyDescent="0.2">
      <c r="A99" s="31"/>
      <c r="B99" s="31"/>
      <c r="C99" s="31"/>
      <c r="D99" s="31"/>
      <c r="E99" s="31"/>
      <c r="F99" s="34"/>
      <c r="G99" s="31"/>
      <c r="H99" s="31"/>
      <c r="I99" s="31"/>
      <c r="K99" s="3"/>
      <c r="L99" s="3"/>
      <c r="M99" s="3"/>
    </row>
    <row r="100" spans="1:13" x14ac:dyDescent="0.2">
      <c r="A100" s="21" t="s">
        <v>153</v>
      </c>
      <c r="B100" s="32">
        <f>B41</f>
        <v>3597</v>
      </c>
      <c r="C100" s="32">
        <f>C41</f>
        <v>4936</v>
      </c>
      <c r="D100" s="32">
        <f t="shared" ref="D100:D106" si="10">C100-B100</f>
        <v>1339</v>
      </c>
      <c r="E100" s="32">
        <f>E41</f>
        <v>6250</v>
      </c>
      <c r="F100" s="34"/>
      <c r="G100" s="32">
        <f>G41</f>
        <v>9279</v>
      </c>
      <c r="H100" s="32">
        <f>H41</f>
        <v>9279</v>
      </c>
      <c r="I100" s="32">
        <f>I41</f>
        <v>9279</v>
      </c>
      <c r="K100" s="3">
        <f t="shared" si="7"/>
        <v>3029</v>
      </c>
      <c r="L100" s="3">
        <f t="shared" si="8"/>
        <v>3029</v>
      </c>
      <c r="M100" s="3">
        <f t="shared" si="9"/>
        <v>3029</v>
      </c>
    </row>
    <row r="101" spans="1:13" x14ac:dyDescent="0.2">
      <c r="A101" s="31" t="s">
        <v>151</v>
      </c>
      <c r="B101" s="32">
        <f>B45</f>
        <v>3044</v>
      </c>
      <c r="C101" s="32">
        <f>C45</f>
        <v>4266</v>
      </c>
      <c r="D101" s="32">
        <f t="shared" si="10"/>
        <v>1222</v>
      </c>
      <c r="E101" s="32">
        <f t="shared" ref="E101:I102" si="11">E45</f>
        <v>5479</v>
      </c>
      <c r="F101" s="34"/>
      <c r="G101" s="32">
        <f t="shared" si="11"/>
        <v>8187.6549697166884</v>
      </c>
      <c r="H101" s="32">
        <f t="shared" si="11"/>
        <v>8187.6549697166884</v>
      </c>
      <c r="I101" s="32">
        <f t="shared" si="11"/>
        <v>8187.6549697166884</v>
      </c>
      <c r="K101" s="3">
        <f t="shared" si="7"/>
        <v>2708.6549697166884</v>
      </c>
      <c r="L101" s="3">
        <f t="shared" si="8"/>
        <v>2708.6549697166884</v>
      </c>
      <c r="M101" s="3">
        <f t="shared" si="9"/>
        <v>2708.6549697166884</v>
      </c>
    </row>
    <row r="102" spans="1:13" x14ac:dyDescent="0.2">
      <c r="A102" s="31" t="s">
        <v>152</v>
      </c>
      <c r="B102" s="32">
        <f>B46</f>
        <v>553</v>
      </c>
      <c r="C102" s="32">
        <f>C46</f>
        <v>670</v>
      </c>
      <c r="D102" s="32">
        <f t="shared" si="10"/>
        <v>117</v>
      </c>
      <c r="E102" s="32">
        <f t="shared" si="11"/>
        <v>771</v>
      </c>
      <c r="F102" s="34"/>
      <c r="G102" s="32">
        <f t="shared" si="11"/>
        <v>1091.3450302833116</v>
      </c>
      <c r="H102" s="32">
        <f t="shared" si="11"/>
        <v>1091.3450302833116</v>
      </c>
      <c r="I102" s="32">
        <f t="shared" si="11"/>
        <v>1134.2141329891144</v>
      </c>
      <c r="K102" s="3">
        <f t="shared" si="7"/>
        <v>320.34503028331164</v>
      </c>
      <c r="L102" s="3">
        <f t="shared" si="8"/>
        <v>320.34503028331164</v>
      </c>
      <c r="M102" s="3">
        <f t="shared" si="9"/>
        <v>363.21413298911443</v>
      </c>
    </row>
    <row r="103" spans="1:13" x14ac:dyDescent="0.2">
      <c r="A103" s="31"/>
      <c r="B103" s="38"/>
      <c r="C103" s="38"/>
      <c r="D103" s="31"/>
      <c r="E103" s="31"/>
      <c r="F103" s="34"/>
      <c r="G103" s="31"/>
      <c r="H103" s="31"/>
      <c r="I103" s="31"/>
      <c r="K103" s="3"/>
      <c r="L103" s="3"/>
      <c r="M103" s="3"/>
    </row>
    <row r="104" spans="1:13" x14ac:dyDescent="0.2">
      <c r="A104" s="21" t="s">
        <v>154</v>
      </c>
      <c r="B104" s="32">
        <f t="shared" ref="B104:C106" si="12">B55</f>
        <v>14253</v>
      </c>
      <c r="C104" s="32">
        <f t="shared" si="12"/>
        <v>18351</v>
      </c>
      <c r="D104" s="32">
        <f t="shared" si="10"/>
        <v>4098</v>
      </c>
      <c r="E104" s="32">
        <f>E55</f>
        <v>21052</v>
      </c>
      <c r="F104" s="34"/>
      <c r="G104" s="32">
        <f>G55</f>
        <v>24201.043405501077</v>
      </c>
      <c r="H104" s="32">
        <f>H55</f>
        <v>23765.021702750539</v>
      </c>
      <c r="I104" s="32">
        <f>I55</f>
        <v>23329</v>
      </c>
      <c r="K104" s="3">
        <f t="shared" si="7"/>
        <v>3149.0434055010774</v>
      </c>
      <c r="L104" s="3">
        <f t="shared" si="8"/>
        <v>2713.0217027505387</v>
      </c>
      <c r="M104" s="3">
        <f t="shared" si="9"/>
        <v>2277</v>
      </c>
    </row>
    <row r="105" spans="1:13" x14ac:dyDescent="0.2">
      <c r="A105" s="31" t="s">
        <v>151</v>
      </c>
      <c r="B105" s="32">
        <f t="shared" si="12"/>
        <v>10739</v>
      </c>
      <c r="C105" s="32">
        <f t="shared" si="12"/>
        <v>14278</v>
      </c>
      <c r="D105" s="32">
        <f t="shared" si="10"/>
        <v>3539</v>
      </c>
      <c r="E105" s="32">
        <f t="shared" ref="E105:I106" si="13">E56</f>
        <v>16665</v>
      </c>
      <c r="F105" s="34"/>
      <c r="G105" s="32">
        <f t="shared" si="13"/>
        <v>19549.649300823487</v>
      </c>
      <c r="H105" s="32">
        <f t="shared" si="13"/>
        <v>19217.652135270087</v>
      </c>
      <c r="I105" s="32">
        <f t="shared" si="13"/>
        <v>18885.654969716688</v>
      </c>
      <c r="K105" s="3">
        <f t="shared" si="7"/>
        <v>2884.6493008234866</v>
      </c>
      <c r="L105" s="3">
        <f t="shared" si="8"/>
        <v>2552.6521352700875</v>
      </c>
      <c r="M105" s="3">
        <f t="shared" si="9"/>
        <v>2220.6549697166884</v>
      </c>
    </row>
    <row r="106" spans="1:13" x14ac:dyDescent="0.2">
      <c r="A106" s="31" t="s">
        <v>152</v>
      </c>
      <c r="B106" s="32">
        <f t="shared" si="12"/>
        <v>3514</v>
      </c>
      <c r="C106" s="32">
        <f t="shared" si="12"/>
        <v>4073</v>
      </c>
      <c r="D106" s="32">
        <f t="shared" si="10"/>
        <v>559</v>
      </c>
      <c r="E106" s="32">
        <f t="shared" si="13"/>
        <v>4387</v>
      </c>
      <c r="F106" s="34"/>
      <c r="G106" s="32">
        <f t="shared" si="13"/>
        <v>4651.394104677589</v>
      </c>
      <c r="H106" s="32">
        <f t="shared" si="13"/>
        <v>4547.3695674804512</v>
      </c>
      <c r="I106" s="32">
        <f t="shared" si="13"/>
        <v>4443.3450302833116</v>
      </c>
      <c r="K106" s="3">
        <f t="shared" si="7"/>
        <v>264.39410467758898</v>
      </c>
      <c r="L106" s="3">
        <f t="shared" si="8"/>
        <v>160.36956748045122</v>
      </c>
      <c r="M106" s="3">
        <f t="shared" si="9"/>
        <v>56.345030283311644</v>
      </c>
    </row>
    <row r="107" spans="1:13" ht="14.25" x14ac:dyDescent="0.2">
      <c r="A107" s="30"/>
      <c r="B107" s="67"/>
      <c r="C107" s="67"/>
      <c r="D107" s="30"/>
      <c r="E107" s="30"/>
      <c r="F107" s="69"/>
      <c r="G107" s="72"/>
      <c r="H107" s="72"/>
      <c r="I107" s="74"/>
      <c r="J107" s="4"/>
      <c r="K107" s="4"/>
      <c r="L107" s="4"/>
    </row>
    <row r="108" spans="1:13" ht="14.25" x14ac:dyDescent="0.2">
      <c r="A108" s="30"/>
      <c r="B108" s="67"/>
      <c r="C108" s="67"/>
      <c r="D108" s="30"/>
      <c r="E108" s="30"/>
      <c r="F108" s="69"/>
      <c r="G108" s="72"/>
      <c r="H108" s="72"/>
      <c r="I108" s="74"/>
      <c r="J108" s="4"/>
      <c r="K108" s="4"/>
      <c r="L108" s="4"/>
    </row>
    <row r="109" spans="1:13" x14ac:dyDescent="0.2">
      <c r="A109" s="222" t="s">
        <v>206</v>
      </c>
      <c r="B109" s="38"/>
      <c r="C109" s="38"/>
      <c r="D109" s="31"/>
      <c r="E109" s="57" t="s">
        <v>187</v>
      </c>
      <c r="F109" s="34"/>
      <c r="G109" s="45"/>
      <c r="H109" s="58"/>
      <c r="I109" s="56"/>
      <c r="J109" s="34"/>
      <c r="K109" s="4"/>
      <c r="L109" s="4"/>
    </row>
    <row r="110" spans="1:13" x14ac:dyDescent="0.2">
      <c r="A110" s="222" t="s">
        <v>207</v>
      </c>
      <c r="B110" s="38"/>
      <c r="C110" s="38"/>
      <c r="D110" s="31"/>
      <c r="E110" s="219" t="s">
        <v>209</v>
      </c>
      <c r="F110" s="34"/>
      <c r="G110" s="31"/>
      <c r="H110" s="59"/>
      <c r="I110" s="31"/>
      <c r="J110" s="34"/>
      <c r="K110" s="4"/>
      <c r="L110" s="4"/>
    </row>
    <row r="111" spans="1:13" x14ac:dyDescent="0.2">
      <c r="A111" s="21"/>
      <c r="B111" s="38"/>
      <c r="C111" s="38"/>
      <c r="D111" s="31"/>
      <c r="E111" s="31"/>
      <c r="F111" s="34"/>
      <c r="G111" s="60" t="s">
        <v>77</v>
      </c>
      <c r="H111" s="60" t="s">
        <v>78</v>
      </c>
      <c r="I111" s="61" t="s">
        <v>79</v>
      </c>
      <c r="J111" s="34"/>
      <c r="K111" s="4"/>
      <c r="L111" s="4"/>
    </row>
    <row r="112" spans="1:13" x14ac:dyDescent="0.2">
      <c r="A112" s="21" t="s">
        <v>49</v>
      </c>
      <c r="B112" s="38"/>
      <c r="C112" s="62" t="s">
        <v>208</v>
      </c>
      <c r="D112" s="31"/>
      <c r="E112" s="21" t="s">
        <v>49</v>
      </c>
      <c r="F112" s="34"/>
      <c r="G112" s="45"/>
      <c r="H112" s="31"/>
      <c r="I112" s="56"/>
      <c r="J112" s="34"/>
      <c r="K112" s="4"/>
      <c r="L112" s="4"/>
    </row>
    <row r="113" spans="1:12" x14ac:dyDescent="0.2">
      <c r="A113" s="31" t="s">
        <v>50</v>
      </c>
      <c r="B113" s="38"/>
      <c r="C113" s="217">
        <v>1039.5766553310661</v>
      </c>
      <c r="D113" s="31"/>
      <c r="E113" s="31" t="s">
        <v>50</v>
      </c>
      <c r="F113" s="34"/>
      <c r="G113" s="45">
        <f>G56*C141</f>
        <v>1250.5143387303347</v>
      </c>
      <c r="H113" s="45">
        <f>H56*C141</f>
        <v>1229.2777830482403</v>
      </c>
      <c r="I113" s="45">
        <f>I56*C141</f>
        <v>1208.0412273661459</v>
      </c>
      <c r="J113" s="34"/>
      <c r="K113" s="4"/>
      <c r="L113" s="4"/>
    </row>
    <row r="114" spans="1:12" x14ac:dyDescent="0.2">
      <c r="A114" s="31" t="s">
        <v>51</v>
      </c>
      <c r="B114" s="38"/>
      <c r="C114" s="217">
        <v>2177.5976195239045</v>
      </c>
      <c r="D114" s="31"/>
      <c r="E114" s="31" t="s">
        <v>51</v>
      </c>
      <c r="F114" s="34"/>
      <c r="G114" s="45">
        <f>G56*C142</f>
        <v>2619.4480543933296</v>
      </c>
      <c r="H114" s="45">
        <f>H56*C142</f>
        <v>2574.9639147552689</v>
      </c>
      <c r="I114" s="45">
        <f>I56*C142</f>
        <v>2530.4797751172077</v>
      </c>
      <c r="J114" s="34"/>
      <c r="K114" s="4"/>
      <c r="L114" s="4"/>
    </row>
    <row r="115" spans="1:12" x14ac:dyDescent="0.2">
      <c r="A115" s="31" t="s">
        <v>52</v>
      </c>
      <c r="B115" s="38"/>
      <c r="C115" s="217">
        <v>2924.1852185218522</v>
      </c>
      <c r="D115" s="31"/>
      <c r="E115" s="31" t="s">
        <v>52</v>
      </c>
      <c r="F115" s="34"/>
      <c r="G115" s="45">
        <f>G56*C143</f>
        <v>3517.5237209422903</v>
      </c>
      <c r="H115" s="45">
        <f>H56*C143</f>
        <v>3457.7882296733756</v>
      </c>
      <c r="I115" s="45">
        <f>I56*C143</f>
        <v>3398.0527384044613</v>
      </c>
      <c r="J115" s="34"/>
      <c r="K115" s="4"/>
      <c r="L115" s="4"/>
    </row>
    <row r="116" spans="1:12" x14ac:dyDescent="0.2">
      <c r="A116" s="31" t="s">
        <v>53</v>
      </c>
      <c r="B116" s="38"/>
      <c r="C116" s="217">
        <v>4816.796853123542</v>
      </c>
      <c r="D116" s="31"/>
      <c r="E116" s="31" t="s">
        <v>53</v>
      </c>
      <c r="F116" s="34"/>
      <c r="G116" s="45">
        <f>G56*C144</f>
        <v>5794.1600561085052</v>
      </c>
      <c r="H116" s="45">
        <f>H56*C144</f>
        <v>5695.7621418651161</v>
      </c>
      <c r="I116" s="45">
        <f>I56*C144</f>
        <v>5597.3642276217279</v>
      </c>
      <c r="J116" s="34"/>
      <c r="K116" s="4"/>
      <c r="L116" s="4"/>
    </row>
    <row r="117" spans="1:12" x14ac:dyDescent="0.2">
      <c r="A117" s="31" t="s">
        <v>54</v>
      </c>
      <c r="B117" s="38"/>
      <c r="C117" s="217">
        <v>7134.8819921328086</v>
      </c>
      <c r="D117" s="31"/>
      <c r="E117" s="31" t="s">
        <v>54</v>
      </c>
      <c r="F117" s="34"/>
      <c r="G117" s="45">
        <f>G56*C145</f>
        <v>8582.60157205004</v>
      </c>
      <c r="H117" s="45">
        <f>H56*C145</f>
        <v>8436.8496278003422</v>
      </c>
      <c r="I117" s="45">
        <f>I56*C145</f>
        <v>8291.0976835506444</v>
      </c>
      <c r="J117" s="34"/>
      <c r="K117" s="4"/>
      <c r="L117" s="4"/>
    </row>
    <row r="118" spans="1:12" x14ac:dyDescent="0.2">
      <c r="A118" s="31" t="s">
        <v>55</v>
      </c>
      <c r="B118" s="38"/>
      <c r="C118" s="217">
        <v>8714.7149165966639</v>
      </c>
      <c r="D118" s="31"/>
      <c r="E118" s="31" t="s">
        <v>55</v>
      </c>
      <c r="F118" s="34"/>
      <c r="G118" s="45">
        <f>G56*C146</f>
        <v>10482.994116177701</v>
      </c>
      <c r="H118" s="45">
        <f>H56*C146</f>
        <v>10304.969217647302</v>
      </c>
      <c r="I118" s="45">
        <f>I56*C146</f>
        <v>10126.944319116905</v>
      </c>
      <c r="J118" s="34"/>
      <c r="K118" s="4"/>
      <c r="L118" s="4"/>
    </row>
    <row r="119" spans="1:12" x14ac:dyDescent="0.2">
      <c r="A119" s="31" t="s">
        <v>56</v>
      </c>
      <c r="B119" s="38"/>
      <c r="C119" s="217">
        <v>16252</v>
      </c>
      <c r="D119" s="31"/>
      <c r="E119" s="31" t="s">
        <v>56</v>
      </c>
      <c r="F119" s="34"/>
      <c r="G119" s="45">
        <f>G56*C147</f>
        <v>19549.649300823487</v>
      </c>
      <c r="H119" s="45">
        <f>H56*C147</f>
        <v>19217.652135270087</v>
      </c>
      <c r="I119" s="45">
        <f>I56*C147</f>
        <v>18885.654969716688</v>
      </c>
      <c r="J119" s="34"/>
      <c r="K119" s="4"/>
      <c r="L119" s="4"/>
    </row>
    <row r="120" spans="1:12" x14ac:dyDescent="0.2">
      <c r="A120" s="31"/>
      <c r="B120" s="38"/>
      <c r="C120" s="32"/>
      <c r="D120" s="31"/>
      <c r="E120" s="31"/>
      <c r="F120" s="34"/>
      <c r="G120" s="45"/>
      <c r="H120" s="45"/>
      <c r="I120" s="45"/>
      <c r="J120" s="34"/>
      <c r="K120" s="4"/>
      <c r="L120" s="4"/>
    </row>
    <row r="121" spans="1:12" x14ac:dyDescent="0.2">
      <c r="A121" s="21" t="s">
        <v>0</v>
      </c>
      <c r="B121" s="38"/>
      <c r="C121" s="32"/>
      <c r="D121" s="31"/>
      <c r="E121" s="21" t="s">
        <v>0</v>
      </c>
      <c r="F121" s="34"/>
      <c r="G121" s="45"/>
      <c r="H121" s="45"/>
      <c r="I121" s="45"/>
      <c r="J121" s="34"/>
      <c r="K121" s="4"/>
      <c r="L121" s="4"/>
    </row>
    <row r="122" spans="1:12" x14ac:dyDescent="0.2">
      <c r="A122" s="31" t="s">
        <v>50</v>
      </c>
      <c r="B122" s="38"/>
      <c r="C122" s="217">
        <v>1239.3771954390877</v>
      </c>
      <c r="D122" s="31"/>
      <c r="E122" s="31" t="s">
        <v>50</v>
      </c>
      <c r="F122" s="34"/>
      <c r="G122" s="45">
        <f>G57*C150</f>
        <v>1486.5476483592615</v>
      </c>
      <c r="H122" s="45">
        <f>H57*C150</f>
        <v>1453.3022540404793</v>
      </c>
      <c r="I122" s="45">
        <f>I57*C150</f>
        <v>1420.0568597216966</v>
      </c>
      <c r="J122" s="34"/>
      <c r="K122" s="4"/>
      <c r="L122" s="4"/>
    </row>
    <row r="123" spans="1:12" x14ac:dyDescent="0.2">
      <c r="A123" s="31" t="s">
        <v>51</v>
      </c>
      <c r="B123" s="38"/>
      <c r="C123" s="217">
        <v>1671.3166633326666</v>
      </c>
      <c r="D123" s="31"/>
      <c r="E123" s="31" t="s">
        <v>51</v>
      </c>
      <c r="F123" s="34"/>
      <c r="G123" s="45">
        <f>G57*C151</f>
        <v>2004.6293127578608</v>
      </c>
      <c r="H123" s="45">
        <f>H57*C151</f>
        <v>1959.7974555084938</v>
      </c>
      <c r="I123" s="45">
        <f>I57*C151</f>
        <v>1914.9655982591262</v>
      </c>
      <c r="J123" s="34"/>
      <c r="K123" s="4"/>
      <c r="L123" s="4"/>
    </row>
    <row r="124" spans="1:12" x14ac:dyDescent="0.2">
      <c r="A124" s="31" t="s">
        <v>52</v>
      </c>
      <c r="B124" s="38"/>
      <c r="C124" s="217">
        <v>2037.5052705270527</v>
      </c>
      <c r="D124" s="31"/>
      <c r="E124" s="31" t="s">
        <v>52</v>
      </c>
      <c r="F124" s="34"/>
      <c r="G124" s="45">
        <f>G57*C152</f>
        <v>2443.8473449146595</v>
      </c>
      <c r="H124" s="45">
        <f>H57*C152</f>
        <v>2389.1927438823477</v>
      </c>
      <c r="I124" s="45">
        <f>I57*C152</f>
        <v>2334.5381428500345</v>
      </c>
      <c r="J124" s="34"/>
      <c r="K124" s="4"/>
      <c r="L124" s="4"/>
    </row>
    <row r="125" spans="1:12" x14ac:dyDescent="0.2">
      <c r="A125" s="31" t="s">
        <v>53</v>
      </c>
      <c r="B125" s="38"/>
      <c r="C125" s="217">
        <v>2582.3269817987866</v>
      </c>
      <c r="D125" s="31"/>
      <c r="E125" s="31" t="s">
        <v>53</v>
      </c>
      <c r="F125" s="34"/>
      <c r="G125" s="45">
        <f>G57*C153</f>
        <v>3097.3234913586248</v>
      </c>
      <c r="H125" s="45">
        <f>H57*C153</f>
        <v>3028.0544430932046</v>
      </c>
      <c r="I125" s="45">
        <f>I57*C153</f>
        <v>2958.785394827783</v>
      </c>
      <c r="J125" s="34"/>
      <c r="K125" s="4"/>
      <c r="L125" s="4"/>
    </row>
    <row r="126" spans="1:12" x14ac:dyDescent="0.2">
      <c r="A126" s="31" t="s">
        <v>54</v>
      </c>
      <c r="B126" s="38"/>
      <c r="C126" s="217">
        <v>2919.2618174544968</v>
      </c>
      <c r="D126" s="31"/>
      <c r="E126" s="31" t="s">
        <v>54</v>
      </c>
      <c r="F126" s="34"/>
      <c r="G126" s="45">
        <f>G57*C154</f>
        <v>3501.4536378850516</v>
      </c>
      <c r="H126" s="45">
        <f>H57*C154</f>
        <v>3423.1465570397759</v>
      </c>
      <c r="I126" s="45">
        <f>I57*C154</f>
        <v>3344.8394761944987</v>
      </c>
      <c r="J126" s="34"/>
      <c r="K126" s="4"/>
      <c r="L126" s="4"/>
    </row>
    <row r="127" spans="1:12" x14ac:dyDescent="0.2">
      <c r="A127" s="31" t="s">
        <v>55</v>
      </c>
      <c r="B127" s="38"/>
      <c r="C127" s="217">
        <v>3178.3789431577261</v>
      </c>
      <c r="D127" s="31"/>
      <c r="E127" s="31" t="s">
        <v>55</v>
      </c>
      <c r="F127" s="34"/>
      <c r="G127" s="45">
        <f>G57*C155</f>
        <v>3812.2467969662798</v>
      </c>
      <c r="H127" s="45">
        <f>H57*C155</f>
        <v>3726.9890871676439</v>
      </c>
      <c r="I127" s="45">
        <f>I57*C155</f>
        <v>3641.7313773690066</v>
      </c>
      <c r="J127" s="34"/>
      <c r="K127" s="4"/>
      <c r="L127" s="4"/>
    </row>
    <row r="128" spans="1:12" x14ac:dyDescent="0.2">
      <c r="A128" s="31" t="s">
        <v>57</v>
      </c>
      <c r="B128" s="38"/>
      <c r="C128" s="217">
        <v>3878</v>
      </c>
      <c r="D128" s="31"/>
      <c r="E128" s="31" t="s">
        <v>57</v>
      </c>
      <c r="F128" s="34"/>
      <c r="G128" s="45">
        <f>G57*C156</f>
        <v>4651.394104677589</v>
      </c>
      <c r="H128" s="45">
        <f>H57*C156</f>
        <v>4547.3695674804512</v>
      </c>
      <c r="I128" s="45">
        <f>I57*C156</f>
        <v>4443.3450302833116</v>
      </c>
      <c r="J128" s="34"/>
      <c r="K128" s="4"/>
      <c r="L128" s="4"/>
    </row>
    <row r="129" spans="1:12" x14ac:dyDescent="0.2">
      <c r="A129" s="31"/>
      <c r="B129" s="38"/>
      <c r="C129" s="32"/>
      <c r="D129" s="31"/>
      <c r="E129" s="31"/>
      <c r="F129" s="34"/>
      <c r="G129" s="45"/>
      <c r="H129" s="45"/>
      <c r="I129" s="45"/>
      <c r="J129" s="34"/>
      <c r="K129" s="4"/>
      <c r="L129" s="4"/>
    </row>
    <row r="130" spans="1:12" x14ac:dyDescent="0.2">
      <c r="A130" s="21" t="s">
        <v>58</v>
      </c>
      <c r="B130" s="38"/>
      <c r="C130" s="38"/>
      <c r="D130" s="31"/>
      <c r="E130" s="21" t="s">
        <v>58</v>
      </c>
      <c r="F130" s="34"/>
      <c r="G130" s="45"/>
      <c r="H130" s="45"/>
      <c r="I130" s="45"/>
      <c r="J130" s="34"/>
      <c r="K130" s="4"/>
      <c r="L130" s="4"/>
    </row>
    <row r="131" spans="1:12" x14ac:dyDescent="0.2">
      <c r="A131" s="31" t="s">
        <v>50</v>
      </c>
      <c r="B131" s="38"/>
      <c r="C131" s="32">
        <f>C113+C122</f>
        <v>2278.9538507701536</v>
      </c>
      <c r="D131" s="31"/>
      <c r="E131" s="31" t="s">
        <v>50</v>
      </c>
      <c r="F131" s="34"/>
      <c r="G131" s="32">
        <f>G113+G122</f>
        <v>2737.0619870895962</v>
      </c>
      <c r="H131" s="32">
        <f>H113+H122</f>
        <v>2682.5800370887196</v>
      </c>
      <c r="I131" s="32">
        <f>I113+I122</f>
        <v>2628.0980870878425</v>
      </c>
      <c r="J131" s="34"/>
      <c r="K131" s="4"/>
      <c r="L131" s="4"/>
    </row>
    <row r="132" spans="1:12" x14ac:dyDescent="0.2">
      <c r="A132" s="31" t="s">
        <v>51</v>
      </c>
      <c r="B132" s="38"/>
      <c r="C132" s="32">
        <f t="shared" ref="C132:C137" si="14">C114+C123</f>
        <v>3848.9142828565709</v>
      </c>
      <c r="D132" s="31"/>
      <c r="E132" s="31" t="s">
        <v>51</v>
      </c>
      <c r="F132" s="34"/>
      <c r="G132" s="32">
        <f t="shared" ref="G132:I137" si="15">G114+G123</f>
        <v>4624.0773671511906</v>
      </c>
      <c r="H132" s="32">
        <f t="shared" si="15"/>
        <v>4534.7613702637627</v>
      </c>
      <c r="I132" s="32">
        <f t="shared" si="15"/>
        <v>4445.4453733763339</v>
      </c>
      <c r="J132" s="34"/>
      <c r="K132" s="4"/>
      <c r="L132" s="4"/>
    </row>
    <row r="133" spans="1:12" x14ac:dyDescent="0.2">
      <c r="A133" s="31" t="s">
        <v>52</v>
      </c>
      <c r="B133" s="38"/>
      <c r="C133" s="32">
        <f t="shared" si="14"/>
        <v>4961.690489048905</v>
      </c>
      <c r="D133" s="31"/>
      <c r="E133" s="31" t="s">
        <v>52</v>
      </c>
      <c r="F133" s="34"/>
      <c r="G133" s="32">
        <f t="shared" si="15"/>
        <v>5961.3710658569498</v>
      </c>
      <c r="H133" s="32">
        <f t="shared" si="15"/>
        <v>5846.9809735557228</v>
      </c>
      <c r="I133" s="32">
        <f t="shared" si="15"/>
        <v>5732.5908812544958</v>
      </c>
      <c r="J133" s="34"/>
      <c r="K133" s="4"/>
      <c r="L133" s="4"/>
    </row>
    <row r="134" spans="1:12" x14ac:dyDescent="0.2">
      <c r="A134" s="31" t="s">
        <v>53</v>
      </c>
      <c r="B134" s="38"/>
      <c r="C134" s="32">
        <f t="shared" si="14"/>
        <v>7399.1238349223286</v>
      </c>
      <c r="D134" s="31"/>
      <c r="E134" s="31" t="s">
        <v>53</v>
      </c>
      <c r="F134" s="34"/>
      <c r="G134" s="32">
        <f t="shared" si="15"/>
        <v>8891.4835474671308</v>
      </c>
      <c r="H134" s="32">
        <f t="shared" si="15"/>
        <v>8723.8165849583202</v>
      </c>
      <c r="I134" s="32">
        <f t="shared" si="15"/>
        <v>8556.1496224495113</v>
      </c>
      <c r="J134" s="34"/>
      <c r="K134" s="4"/>
      <c r="L134" s="4"/>
    </row>
    <row r="135" spans="1:12" x14ac:dyDescent="0.2">
      <c r="A135" s="31" t="s">
        <v>54</v>
      </c>
      <c r="B135" s="38"/>
      <c r="C135" s="32">
        <f t="shared" si="14"/>
        <v>10054.143809587305</v>
      </c>
      <c r="D135" s="31"/>
      <c r="E135" s="31" t="s">
        <v>54</v>
      </c>
      <c r="F135" s="34"/>
      <c r="G135" s="32">
        <f t="shared" si="15"/>
        <v>12084.055209935092</v>
      </c>
      <c r="H135" s="32">
        <f t="shared" si="15"/>
        <v>11859.996184840118</v>
      </c>
      <c r="I135" s="32">
        <f t="shared" si="15"/>
        <v>11635.937159745143</v>
      </c>
      <c r="J135" s="34"/>
      <c r="K135" s="4"/>
      <c r="L135" s="4"/>
    </row>
    <row r="136" spans="1:12" x14ac:dyDescent="0.2">
      <c r="A136" s="31" t="s">
        <v>55</v>
      </c>
      <c r="B136" s="38"/>
      <c r="C136" s="32">
        <f t="shared" si="14"/>
        <v>11893.09385975439</v>
      </c>
      <c r="D136" s="31"/>
      <c r="E136" s="31" t="s">
        <v>55</v>
      </c>
      <c r="F136" s="34"/>
      <c r="G136" s="32">
        <f t="shared" si="15"/>
        <v>14295.24091314398</v>
      </c>
      <c r="H136" s="32">
        <f t="shared" si="15"/>
        <v>14031.958304814945</v>
      </c>
      <c r="I136" s="32">
        <f t="shared" si="15"/>
        <v>13768.675696485912</v>
      </c>
      <c r="J136" s="34"/>
      <c r="K136" s="4"/>
      <c r="L136" s="4"/>
    </row>
    <row r="137" spans="1:12" x14ac:dyDescent="0.2">
      <c r="A137" s="31" t="s">
        <v>59</v>
      </c>
      <c r="B137" s="38"/>
      <c r="C137" s="32">
        <f t="shared" si="14"/>
        <v>20130</v>
      </c>
      <c r="D137" s="31"/>
      <c r="E137" s="31" t="s">
        <v>59</v>
      </c>
      <c r="F137" s="34"/>
      <c r="G137" s="32">
        <f t="shared" si="15"/>
        <v>24201.043405501077</v>
      </c>
      <c r="H137" s="32">
        <f t="shared" si="15"/>
        <v>23765.021702750539</v>
      </c>
      <c r="I137" s="32">
        <f t="shared" si="15"/>
        <v>23329</v>
      </c>
      <c r="J137" s="34"/>
      <c r="K137" s="4"/>
      <c r="L137" s="4"/>
    </row>
    <row r="138" spans="1:12" x14ac:dyDescent="0.2">
      <c r="A138" s="31"/>
      <c r="B138" s="38"/>
      <c r="C138" s="38"/>
      <c r="D138" s="31"/>
      <c r="E138" s="31"/>
      <c r="F138" s="34"/>
      <c r="G138" s="45"/>
      <c r="H138" s="45"/>
      <c r="I138" s="56"/>
      <c r="J138" s="34"/>
      <c r="K138" s="4"/>
      <c r="L138" s="4"/>
    </row>
    <row r="139" spans="1:12" x14ac:dyDescent="0.2">
      <c r="A139" s="21" t="s">
        <v>60</v>
      </c>
      <c r="B139" s="38"/>
      <c r="C139" s="62"/>
      <c r="D139" s="31"/>
      <c r="E139" s="31"/>
      <c r="F139" s="34"/>
      <c r="G139" s="45"/>
      <c r="H139" s="45"/>
      <c r="I139" s="56"/>
      <c r="J139" s="34"/>
      <c r="K139" s="4"/>
      <c r="L139" s="4"/>
    </row>
    <row r="140" spans="1:12" x14ac:dyDescent="0.2">
      <c r="A140" s="21" t="s">
        <v>49</v>
      </c>
      <c r="B140" s="38"/>
      <c r="C140" s="62"/>
      <c r="D140" s="31"/>
      <c r="E140" s="31"/>
      <c r="F140" s="34"/>
      <c r="G140" s="45"/>
      <c r="H140" s="45"/>
      <c r="I140" s="56"/>
      <c r="J140" s="34"/>
      <c r="K140" s="4"/>
      <c r="L140" s="4"/>
    </row>
    <row r="141" spans="1:12" x14ac:dyDescent="0.2">
      <c r="A141" s="31" t="s">
        <v>50</v>
      </c>
      <c r="B141" s="38"/>
      <c r="C141" s="38">
        <f>C113/C119</f>
        <v>6.3966075272647444E-2</v>
      </c>
      <c r="D141" s="38">
        <v>9.6242815084817052E-2</v>
      </c>
      <c r="E141" s="43">
        <f t="shared" ref="E141:E165" si="16">+C141-D141</f>
        <v>-3.2276739812169608E-2</v>
      </c>
      <c r="F141" s="34"/>
      <c r="G141" s="45"/>
      <c r="H141" s="45"/>
      <c r="I141" s="56"/>
      <c r="J141" s="34"/>
      <c r="K141" s="4"/>
      <c r="L141" s="4"/>
    </row>
    <row r="142" spans="1:12" x14ac:dyDescent="0.2">
      <c r="A142" s="31" t="s">
        <v>51</v>
      </c>
      <c r="B142" s="38"/>
      <c r="C142" s="38">
        <f>C114/C119</f>
        <v>0.13398951633792178</v>
      </c>
      <c r="D142" s="38">
        <v>0.22332819290621056</v>
      </c>
      <c r="E142" s="43">
        <f t="shared" si="16"/>
        <v>-8.9338676568288783E-2</v>
      </c>
      <c r="F142" s="34"/>
      <c r="G142" s="45"/>
      <c r="H142" s="45"/>
      <c r="I142" s="56"/>
      <c r="J142" s="34"/>
      <c r="K142" s="4"/>
      <c r="L142" s="4"/>
    </row>
    <row r="143" spans="1:12" x14ac:dyDescent="0.2">
      <c r="A143" s="31" t="s">
        <v>52</v>
      </c>
      <c r="B143" s="38"/>
      <c r="C143" s="38">
        <f>C115/C119</f>
        <v>0.17992771465184915</v>
      </c>
      <c r="D143" s="38">
        <v>0.28592457591476239</v>
      </c>
      <c r="E143" s="43">
        <f t="shared" si="16"/>
        <v>-0.10599686126291324</v>
      </c>
      <c r="F143" s="34"/>
      <c r="G143" s="45"/>
      <c r="H143" s="45"/>
      <c r="I143" s="56"/>
      <c r="J143" s="34"/>
      <c r="K143" s="4"/>
      <c r="L143" s="4"/>
    </row>
    <row r="144" spans="1:12" x14ac:dyDescent="0.2">
      <c r="A144" s="31" t="s">
        <v>53</v>
      </c>
      <c r="B144" s="38"/>
      <c r="C144" s="38">
        <f>C116/C119</f>
        <v>0.29638179012574095</v>
      </c>
      <c r="D144" s="38">
        <v>0.40880414972662271</v>
      </c>
      <c r="E144" s="43">
        <f t="shared" si="16"/>
        <v>-0.11242235960088176</v>
      </c>
      <c r="F144" s="34"/>
      <c r="G144" s="45"/>
      <c r="H144" s="45"/>
      <c r="I144" s="56"/>
      <c r="J144" s="34"/>
      <c r="K144" s="4"/>
      <c r="L144" s="4"/>
    </row>
    <row r="145" spans="1:12" x14ac:dyDescent="0.2">
      <c r="A145" s="31" t="s">
        <v>54</v>
      </c>
      <c r="B145" s="38"/>
      <c r="C145" s="38">
        <f>C117/C119</f>
        <v>0.43901562836160524</v>
      </c>
      <c r="D145" s="38">
        <v>0.53567923734753964</v>
      </c>
      <c r="E145" s="43">
        <f t="shared" si="16"/>
        <v>-9.6663608985934402E-2</v>
      </c>
      <c r="F145" s="34"/>
      <c r="G145" s="45"/>
      <c r="H145" s="45"/>
      <c r="I145" s="56"/>
      <c r="J145" s="34"/>
      <c r="K145" s="4"/>
      <c r="L145" s="4"/>
    </row>
    <row r="146" spans="1:12" x14ac:dyDescent="0.2">
      <c r="A146" s="31" t="s">
        <v>55</v>
      </c>
      <c r="B146" s="38"/>
      <c r="C146" s="38">
        <f>C118/C119</f>
        <v>0.5362241518949461</v>
      </c>
      <c r="D146" s="38">
        <v>0.63164166549838774</v>
      </c>
      <c r="E146" s="43">
        <f t="shared" si="16"/>
        <v>-9.5417513603441639E-2</v>
      </c>
      <c r="F146" s="34"/>
      <c r="G146" s="45"/>
      <c r="H146" s="45"/>
      <c r="I146" s="56"/>
      <c r="J146" s="34"/>
      <c r="K146" s="4"/>
      <c r="L146" s="4"/>
    </row>
    <row r="147" spans="1:12" x14ac:dyDescent="0.2">
      <c r="A147" s="31" t="s">
        <v>56</v>
      </c>
      <c r="B147" s="38"/>
      <c r="C147" s="38">
        <f>C119/C119</f>
        <v>1</v>
      </c>
      <c r="D147" s="38">
        <v>1</v>
      </c>
      <c r="E147" s="43">
        <f t="shared" si="16"/>
        <v>0</v>
      </c>
      <c r="F147" s="34"/>
      <c r="G147" s="45"/>
      <c r="H147" s="45"/>
      <c r="I147" s="56"/>
      <c r="J147" s="34"/>
      <c r="K147" s="4"/>
      <c r="L147" s="4"/>
    </row>
    <row r="148" spans="1:12" x14ac:dyDescent="0.2">
      <c r="A148" s="31"/>
      <c r="B148" s="38"/>
      <c r="C148" s="38"/>
      <c r="D148" s="38"/>
      <c r="E148" s="43"/>
      <c r="F148" s="34"/>
      <c r="G148" s="45"/>
      <c r="H148" s="45"/>
      <c r="I148" s="56"/>
      <c r="J148" s="34"/>
      <c r="K148" s="4"/>
      <c r="L148" s="4"/>
    </row>
    <row r="149" spans="1:12" x14ac:dyDescent="0.2">
      <c r="A149" s="21" t="s">
        <v>0</v>
      </c>
      <c r="B149" s="38"/>
      <c r="C149" s="38"/>
      <c r="D149" s="38"/>
      <c r="E149" s="43"/>
      <c r="F149" s="34"/>
      <c r="G149" s="45"/>
      <c r="H149" s="45"/>
      <c r="I149" s="56"/>
      <c r="J149" s="34"/>
      <c r="K149" s="4"/>
      <c r="L149" s="4"/>
    </row>
    <row r="150" spans="1:12" x14ac:dyDescent="0.2">
      <c r="A150" s="31" t="s">
        <v>50</v>
      </c>
      <c r="B150" s="38"/>
      <c r="C150" s="38">
        <f>C122/C128</f>
        <v>0.31959185029373072</v>
      </c>
      <c r="D150" s="38">
        <v>0.2222766217870257</v>
      </c>
      <c r="E150" s="43">
        <f t="shared" si="16"/>
        <v>9.7315228506705015E-2</v>
      </c>
      <c r="F150" s="34"/>
      <c r="G150" s="45"/>
      <c r="H150" s="45"/>
      <c r="I150" s="56"/>
      <c r="J150" s="34"/>
      <c r="K150" s="4"/>
      <c r="L150" s="4"/>
    </row>
    <row r="151" spans="1:12" x14ac:dyDescent="0.2">
      <c r="A151" s="31" t="s">
        <v>51</v>
      </c>
      <c r="B151" s="38"/>
      <c r="C151" s="38">
        <f>C123/C128</f>
        <v>0.43097386883255973</v>
      </c>
      <c r="D151" s="38">
        <v>0.41126070991432068</v>
      </c>
      <c r="E151" s="43">
        <f t="shared" si="16"/>
        <v>1.9713158918239049E-2</v>
      </c>
      <c r="F151" s="34"/>
      <c r="G151" s="45"/>
      <c r="H151" s="45"/>
      <c r="I151" s="56"/>
      <c r="J151" s="34"/>
      <c r="K151" s="4"/>
      <c r="L151" s="4"/>
    </row>
    <row r="152" spans="1:12" x14ac:dyDescent="0.2">
      <c r="A152" s="31" t="s">
        <v>52</v>
      </c>
      <c r="B152" s="38"/>
      <c r="C152" s="38">
        <f>C124/C128</f>
        <v>0.52540104964596512</v>
      </c>
      <c r="D152" s="38">
        <v>0.50110159118727049</v>
      </c>
      <c r="E152" s="43">
        <f t="shared" si="16"/>
        <v>2.4299458458694634E-2</v>
      </c>
      <c r="F152" s="34"/>
      <c r="G152" s="45"/>
      <c r="H152" s="45"/>
      <c r="I152" s="56"/>
      <c r="J152" s="34"/>
      <c r="K152" s="4"/>
      <c r="L152" s="4"/>
    </row>
    <row r="153" spans="1:12" x14ac:dyDescent="0.2">
      <c r="A153" s="31" t="s">
        <v>53</v>
      </c>
      <c r="B153" s="38"/>
      <c r="C153" s="38">
        <f>C125/C128</f>
        <v>0.66589143419257002</v>
      </c>
      <c r="D153" s="38">
        <v>0.65728274173806611</v>
      </c>
      <c r="E153" s="43">
        <f t="shared" si="16"/>
        <v>8.6086924545039079E-3</v>
      </c>
      <c r="F153" s="34"/>
      <c r="G153" s="45"/>
      <c r="H153" s="45"/>
      <c r="I153" s="56"/>
      <c r="J153" s="34"/>
      <c r="K153" s="4"/>
      <c r="L153" s="4"/>
    </row>
    <row r="154" spans="1:12" x14ac:dyDescent="0.2">
      <c r="A154" s="31" t="s">
        <v>54</v>
      </c>
      <c r="B154" s="38"/>
      <c r="C154" s="38">
        <f>C126/C128</f>
        <v>0.75277509475360926</v>
      </c>
      <c r="D154" s="38">
        <v>0.76646266829865362</v>
      </c>
      <c r="E154" s="43">
        <f t="shared" si="16"/>
        <v>-1.3687573545044351E-2</v>
      </c>
      <c r="F154" s="34"/>
      <c r="G154" s="45"/>
      <c r="H154" s="45"/>
      <c r="I154" s="56"/>
      <c r="J154" s="34"/>
      <c r="K154" s="4"/>
      <c r="L154" s="4"/>
    </row>
    <row r="155" spans="1:12" x14ac:dyDescent="0.2">
      <c r="A155" s="31" t="s">
        <v>55</v>
      </c>
      <c r="B155" s="38"/>
      <c r="C155" s="38">
        <f>C127/C128</f>
        <v>0.81959230096898561</v>
      </c>
      <c r="D155" s="38">
        <v>0.83818849449204402</v>
      </c>
      <c r="E155" s="43">
        <f t="shared" si="16"/>
        <v>-1.8596193523058413E-2</v>
      </c>
      <c r="F155" s="34"/>
      <c r="G155" s="45"/>
      <c r="H155" s="45"/>
      <c r="I155" s="56"/>
      <c r="J155" s="34"/>
      <c r="K155" s="4"/>
      <c r="L155" s="4"/>
    </row>
    <row r="156" spans="1:12" x14ac:dyDescent="0.2">
      <c r="A156" s="31" t="s">
        <v>57</v>
      </c>
      <c r="B156" s="38"/>
      <c r="C156" s="38">
        <f>C128/C128</f>
        <v>1</v>
      </c>
      <c r="D156" s="38">
        <v>1</v>
      </c>
      <c r="E156" s="43">
        <f t="shared" si="16"/>
        <v>0</v>
      </c>
      <c r="F156" s="34"/>
      <c r="G156" s="45"/>
      <c r="H156" s="45"/>
      <c r="I156" s="56"/>
      <c r="J156" s="34"/>
      <c r="K156" s="4"/>
      <c r="L156" s="4"/>
    </row>
    <row r="157" spans="1:12" x14ac:dyDescent="0.2">
      <c r="A157" s="31"/>
      <c r="B157" s="38"/>
      <c r="C157" s="38"/>
      <c r="D157" s="38"/>
      <c r="E157" s="43"/>
      <c r="F157" s="34"/>
      <c r="G157" s="45"/>
      <c r="H157" s="45"/>
      <c r="I157" s="56"/>
      <c r="J157" s="34"/>
      <c r="K157" s="4"/>
      <c r="L157" s="4"/>
    </row>
    <row r="158" spans="1:12" x14ac:dyDescent="0.2">
      <c r="A158" s="21" t="s">
        <v>58</v>
      </c>
      <c r="B158" s="38"/>
      <c r="C158" s="38"/>
      <c r="D158" s="38"/>
      <c r="E158" s="43"/>
      <c r="F158" s="34"/>
      <c r="G158" s="45"/>
      <c r="H158" s="45"/>
      <c r="I158" s="56"/>
      <c r="J158" s="34"/>
      <c r="K158" s="4"/>
      <c r="L158" s="4"/>
    </row>
    <row r="159" spans="1:12" x14ac:dyDescent="0.2">
      <c r="A159" s="31" t="s">
        <v>50</v>
      </c>
      <c r="B159" s="38"/>
      <c r="C159" s="38">
        <f>C131/C137</f>
        <v>0.11321181573622224</v>
      </c>
      <c r="D159" s="38">
        <v>0.1242984033567653</v>
      </c>
      <c r="E159" s="43">
        <f t="shared" si="16"/>
        <v>-1.1086587620543056E-2</v>
      </c>
      <c r="F159" s="34"/>
      <c r="G159" s="45"/>
      <c r="H159" s="45"/>
      <c r="I159" s="56"/>
      <c r="J159" s="34"/>
      <c r="K159" s="4"/>
      <c r="L159" s="4"/>
    </row>
    <row r="160" spans="1:12" x14ac:dyDescent="0.2">
      <c r="A160" s="31" t="s">
        <v>51</v>
      </c>
      <c r="B160" s="38"/>
      <c r="C160" s="38">
        <f>C132/C137</f>
        <v>0.19120289532322757</v>
      </c>
      <c r="D160" s="38">
        <v>0.26516266143534412</v>
      </c>
      <c r="E160" s="43">
        <f t="shared" si="16"/>
        <v>-7.3959766112116548E-2</v>
      </c>
      <c r="F160" s="34"/>
      <c r="G160" s="45"/>
      <c r="H160" s="45"/>
      <c r="I160" s="56"/>
      <c r="J160" s="34"/>
      <c r="K160" s="4"/>
      <c r="L160" s="4"/>
    </row>
    <row r="161" spans="1:12" x14ac:dyDescent="0.2">
      <c r="A161" s="31" t="s">
        <v>52</v>
      </c>
      <c r="B161" s="38"/>
      <c r="C161" s="38">
        <f>C133/C137</f>
        <v>0.24648238892443641</v>
      </c>
      <c r="D161" s="38">
        <v>0.33382376982180806</v>
      </c>
      <c r="E161" s="43">
        <f t="shared" si="16"/>
        <v>-8.7341380897371645E-2</v>
      </c>
      <c r="F161" s="34"/>
      <c r="G161" s="45"/>
      <c r="H161" s="45"/>
      <c r="I161" s="56"/>
      <c r="J161" s="34"/>
      <c r="K161" s="4"/>
      <c r="L161" s="4"/>
    </row>
    <row r="162" spans="1:12" x14ac:dyDescent="0.2">
      <c r="A162" s="31" t="s">
        <v>53</v>
      </c>
      <c r="B162" s="38"/>
      <c r="C162" s="38">
        <f>C134/C137</f>
        <v>0.36756700620577887</v>
      </c>
      <c r="D162" s="38">
        <v>0.46411639692659801</v>
      </c>
      <c r="E162" s="43">
        <f t="shared" si="16"/>
        <v>-9.6549390720819139E-2</v>
      </c>
      <c r="F162" s="34"/>
      <c r="G162" s="45"/>
      <c r="H162" s="45"/>
      <c r="I162" s="56"/>
      <c r="J162" s="34"/>
      <c r="K162" s="4"/>
      <c r="L162" s="4"/>
    </row>
    <row r="163" spans="1:12" x14ac:dyDescent="0.2">
      <c r="A163" s="31" t="s">
        <v>54</v>
      </c>
      <c r="B163" s="38"/>
      <c r="C163" s="38">
        <f>C135/C137</f>
        <v>0.49946069595565351</v>
      </c>
      <c r="D163" s="38">
        <v>0.58705247670426675</v>
      </c>
      <c r="E163" s="43">
        <f t="shared" si="16"/>
        <v>-8.7591780748613235E-2</v>
      </c>
      <c r="F163" s="34"/>
      <c r="G163" s="45"/>
      <c r="H163" s="45"/>
      <c r="I163" s="56"/>
      <c r="J163" s="34"/>
      <c r="K163" s="4"/>
      <c r="L163" s="4"/>
    </row>
    <row r="164" spans="1:12" x14ac:dyDescent="0.2">
      <c r="A164" s="31" t="s">
        <v>55</v>
      </c>
      <c r="B164" s="38"/>
      <c r="C164" s="38">
        <f>C136/C137</f>
        <v>0.59081439939167357</v>
      </c>
      <c r="D164" s="38">
        <v>0.67761974824260263</v>
      </c>
      <c r="E164" s="43">
        <f t="shared" si="16"/>
        <v>-8.6805348850929054E-2</v>
      </c>
      <c r="F164" s="34"/>
      <c r="G164" s="45"/>
      <c r="H164" s="45"/>
      <c r="I164" s="56"/>
      <c r="J164" s="34"/>
      <c r="K164" s="4"/>
      <c r="L164" s="4"/>
    </row>
    <row r="165" spans="1:12" x14ac:dyDescent="0.2">
      <c r="A165" s="31" t="s">
        <v>59</v>
      </c>
      <c r="B165" s="38"/>
      <c r="C165" s="38">
        <f>C137/C137</f>
        <v>1</v>
      </c>
      <c r="D165" s="38">
        <v>1</v>
      </c>
      <c r="E165" s="43">
        <f t="shared" si="16"/>
        <v>0</v>
      </c>
      <c r="F165" s="34"/>
      <c r="G165" s="45"/>
      <c r="H165" s="45"/>
      <c r="I165" s="56"/>
      <c r="J165" s="34"/>
      <c r="K165" s="4"/>
      <c r="L165" s="4"/>
    </row>
    <row r="166" spans="1:12" x14ac:dyDescent="0.2">
      <c r="A166" s="31"/>
      <c r="B166" s="38"/>
      <c r="C166" s="38"/>
      <c r="D166" s="31"/>
      <c r="E166" s="31"/>
      <c r="F166" s="34"/>
      <c r="G166" s="45"/>
      <c r="H166" s="45"/>
      <c r="I166" s="56"/>
      <c r="J166" s="34"/>
      <c r="K166" s="4"/>
      <c r="L166" s="4"/>
    </row>
  </sheetData>
  <mergeCells count="1">
    <mergeCell ref="I2:I21"/>
  </mergeCells>
  <phoneticPr fontId="0" type="noConversion"/>
  <printOptions horizontalCentered="1" verticalCentered="1"/>
  <pageMargins left="0.75" right="0.75" top="0.75" bottom="0.75" header="0.5" footer="0.5"/>
  <pageSetup scale="70" orientation="landscape" horizontalDpi="4294967293" r:id="rId1"/>
  <headerFooter alignWithMargins="0">
    <oddFooter>&amp;R&amp;P of &amp;N</oddFooter>
  </headerFooter>
  <rowBreaks count="4" manualBreakCount="4">
    <brk id="43" max="8" man="1"/>
    <brk id="77" max="8" man="1"/>
    <brk id="108" max="16383" man="1"/>
    <brk id="1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zoomScaleNormal="100" workbookViewId="0">
      <selection activeCell="H150" sqref="H150:H160"/>
    </sheetView>
  </sheetViews>
  <sheetFormatPr defaultRowHeight="12.75" x14ac:dyDescent="0.2"/>
  <cols>
    <col min="1" max="1" width="55.7109375" customWidth="1"/>
    <col min="2" max="5" width="11.7109375" customWidth="1"/>
    <col min="6" max="6" width="12.7109375" customWidth="1"/>
    <col min="7" max="9" width="15.7109375" customWidth="1"/>
  </cols>
  <sheetData>
    <row r="1" spans="1:9" ht="78.75" x14ac:dyDescent="0.2">
      <c r="A1" s="171" t="s">
        <v>17</v>
      </c>
      <c r="B1" s="172">
        <v>1990</v>
      </c>
      <c r="C1" s="172">
        <v>2000</v>
      </c>
      <c r="D1" s="138" t="s">
        <v>80</v>
      </c>
      <c r="E1" s="137">
        <v>2010</v>
      </c>
      <c r="F1" s="138" t="s">
        <v>182</v>
      </c>
      <c r="G1" s="137" t="s">
        <v>183</v>
      </c>
      <c r="H1" s="137" t="s">
        <v>213</v>
      </c>
      <c r="I1" s="173" t="s">
        <v>184</v>
      </c>
    </row>
    <row r="2" spans="1:9" ht="12.75" customHeight="1" x14ac:dyDescent="0.2">
      <c r="A2" s="37" t="s">
        <v>28</v>
      </c>
      <c r="B2" s="40">
        <v>24892</v>
      </c>
      <c r="C2" s="40">
        <v>27698</v>
      </c>
      <c r="D2" s="40">
        <f>C2-B2</f>
        <v>2806</v>
      </c>
      <c r="E2" s="217">
        <v>26585</v>
      </c>
      <c r="F2" s="70">
        <f>E2-C2</f>
        <v>-1113</v>
      </c>
      <c r="G2" s="37" t="s">
        <v>196</v>
      </c>
      <c r="H2" s="37"/>
      <c r="I2" s="250" t="s">
        <v>170</v>
      </c>
    </row>
    <row r="3" spans="1:9" x14ac:dyDescent="0.2">
      <c r="A3" s="37" t="s">
        <v>33</v>
      </c>
      <c r="B3" s="43">
        <f>B2/'STATE TOTALS'!$B$2</f>
        <v>5.788823746921519E-2</v>
      </c>
      <c r="C3" s="43">
        <f>C2/'STATE TOTALS'!$C$2</f>
        <v>5.230933099655527E-2</v>
      </c>
      <c r="D3" s="43">
        <f>D2/'STATE TOTALS'!$D$2</f>
        <v>2.8200154769202939E-2</v>
      </c>
      <c r="E3" s="43">
        <f>E2/'STATE TOTALS'!$E$2</f>
        <v>5.1783749038246153E-2</v>
      </c>
      <c r="F3" s="43">
        <f>F2/'STATE TOTALS'!$F$2</f>
        <v>6.9048948445933372E-2</v>
      </c>
      <c r="G3" s="37" t="s">
        <v>40</v>
      </c>
      <c r="H3" s="37"/>
      <c r="I3" s="251"/>
    </row>
    <row r="4" spans="1:9" x14ac:dyDescent="0.2">
      <c r="A4" s="37" t="s">
        <v>29</v>
      </c>
      <c r="B4" s="139">
        <v>3340</v>
      </c>
      <c r="C4" s="40">
        <v>4471</v>
      </c>
      <c r="D4" s="40">
        <f>C4-B4</f>
        <v>1131</v>
      </c>
      <c r="E4" s="40">
        <f>E5-E2</f>
        <v>4942</v>
      </c>
      <c r="F4" s="40">
        <f>E4-C4</f>
        <v>471</v>
      </c>
      <c r="G4" s="166" t="s">
        <v>188</v>
      </c>
      <c r="H4" s="166" t="s">
        <v>34</v>
      </c>
      <c r="I4" s="251"/>
    </row>
    <row r="5" spans="1:9" x14ac:dyDescent="0.2">
      <c r="A5" s="37" t="s">
        <v>30</v>
      </c>
      <c r="B5" s="139">
        <v>28232</v>
      </c>
      <c r="C5" s="40">
        <v>32169</v>
      </c>
      <c r="D5" s="40">
        <f>C5-B5</f>
        <v>3937</v>
      </c>
      <c r="E5" s="217">
        <v>31527</v>
      </c>
      <c r="F5" s="70">
        <f>E5-C5</f>
        <v>-642</v>
      </c>
      <c r="G5" s="217">
        <v>34385</v>
      </c>
      <c r="H5" s="194">
        <f>(E5-B5)/('STATE TOTALS'!E5-'STATE TOTALS'!B5)*('STATE TOTALS'!G5-'STATE TOTALS'!E5)+E5</f>
        <v>33415.455228428327</v>
      </c>
      <c r="I5" s="251"/>
    </row>
    <row r="6" spans="1:9" x14ac:dyDescent="0.2">
      <c r="A6" s="37" t="s">
        <v>33</v>
      </c>
      <c r="B6" s="43">
        <f>B5/'STATE TOTALS'!$B$5</f>
        <v>5.6984611409840298E-2</v>
      </c>
      <c r="C6" s="43">
        <f>C5/'STATE TOTALS'!$C$5</f>
        <v>5.3094584580140325E-2</v>
      </c>
      <c r="D6" s="43">
        <f>D5/'STATE TOTALS'!$D$5</f>
        <v>3.5645411004173871E-2</v>
      </c>
      <c r="E6" s="43">
        <f>E5/'STATE TOTALS'!$E$5</f>
        <v>5.2505271011601219E-2</v>
      </c>
      <c r="F6" s="43">
        <f>F5/'STATE TOTALS'!$F$5</f>
        <v>0.11829740187949143</v>
      </c>
      <c r="G6" s="37"/>
      <c r="H6" s="37"/>
      <c r="I6" s="251"/>
    </row>
    <row r="7" spans="1:9" x14ac:dyDescent="0.2">
      <c r="A7" s="37"/>
      <c r="B7" s="41"/>
      <c r="C7" s="41"/>
      <c r="D7" s="41"/>
      <c r="E7" s="141"/>
      <c r="F7" s="37"/>
      <c r="G7" s="37"/>
      <c r="H7" s="37"/>
      <c r="I7" s="251"/>
    </row>
    <row r="8" spans="1:9" x14ac:dyDescent="0.2">
      <c r="A8" s="37" t="s">
        <v>92</v>
      </c>
      <c r="B8" s="139">
        <v>38410</v>
      </c>
      <c r="C8" s="40">
        <v>40275</v>
      </c>
      <c r="D8" s="40">
        <f>C8-B8</f>
        <v>1865</v>
      </c>
      <c r="E8" s="217">
        <v>41120</v>
      </c>
      <c r="F8" s="70">
        <f>E8-C8</f>
        <v>845</v>
      </c>
      <c r="G8" s="40">
        <f>G5*G9</f>
        <v>43049.391494917465</v>
      </c>
      <c r="H8" s="40">
        <f>H5*H9</f>
        <v>41835.539162701694</v>
      </c>
      <c r="I8" s="251"/>
    </row>
    <row r="9" spans="1:9" x14ac:dyDescent="0.2">
      <c r="A9" s="37" t="s">
        <v>173</v>
      </c>
      <c r="B9" s="191">
        <f>B8/B5</f>
        <v>1.3605128931708699</v>
      </c>
      <c r="C9" s="191">
        <f>C8/C5</f>
        <v>1.251981721533153</v>
      </c>
      <c r="D9" s="191"/>
      <c r="E9" s="198">
        <f>E8/E5</f>
        <v>1.3042788720779015</v>
      </c>
      <c r="F9" s="199" t="s">
        <v>45</v>
      </c>
      <c r="G9" s="200">
        <f>+C9</f>
        <v>1.251981721533153</v>
      </c>
      <c r="H9" s="201">
        <f>G9</f>
        <v>1.251981721533153</v>
      </c>
      <c r="I9" s="251"/>
    </row>
    <row r="10" spans="1:9" x14ac:dyDescent="0.2">
      <c r="A10" s="37"/>
      <c r="B10" s="41"/>
      <c r="C10" s="41"/>
      <c r="D10" s="41"/>
      <c r="E10" s="141"/>
      <c r="F10" s="37"/>
      <c r="G10" s="37" t="s">
        <v>226</v>
      </c>
      <c r="H10" s="37"/>
      <c r="I10" s="251"/>
    </row>
    <row r="11" spans="1:9" x14ac:dyDescent="0.2">
      <c r="A11" s="37" t="s">
        <v>123</v>
      </c>
      <c r="B11" s="149">
        <f>B13/B8</f>
        <v>0.91715699036709186</v>
      </c>
      <c r="C11" s="149">
        <f>C13/C8</f>
        <v>0.92451893234016136</v>
      </c>
      <c r="D11" s="41"/>
      <c r="E11" s="200">
        <f>E13/E8</f>
        <v>0.96048151750972766</v>
      </c>
      <c r="F11" s="202" t="s">
        <v>45</v>
      </c>
      <c r="G11" s="200">
        <f>E11</f>
        <v>0.96048151750972766</v>
      </c>
      <c r="H11" s="201">
        <f>G11</f>
        <v>0.96048151750972766</v>
      </c>
      <c r="I11" s="251"/>
    </row>
    <row r="12" spans="1:9" x14ac:dyDescent="0.2">
      <c r="A12" s="37"/>
      <c r="B12" s="41"/>
      <c r="C12" s="41"/>
      <c r="D12" s="41"/>
      <c r="E12" s="141"/>
      <c r="F12" s="37"/>
      <c r="G12" s="37"/>
      <c r="H12" s="37"/>
      <c r="I12" s="251"/>
    </row>
    <row r="13" spans="1:9" x14ac:dyDescent="0.2">
      <c r="A13" s="37" t="s">
        <v>124</v>
      </c>
      <c r="B13" s="139">
        <v>35228</v>
      </c>
      <c r="C13" s="139">
        <v>37235</v>
      </c>
      <c r="D13" s="40">
        <f>C13-B13</f>
        <v>2007</v>
      </c>
      <c r="E13" s="217">
        <v>39495</v>
      </c>
      <c r="F13" s="70">
        <f>E13-C13</f>
        <v>2260</v>
      </c>
      <c r="G13" s="40">
        <f>G11*G8</f>
        <v>41348.144870908691</v>
      </c>
      <c r="H13" s="40">
        <f>H11*H8</f>
        <v>40182.262140829363</v>
      </c>
      <c r="I13" s="251"/>
    </row>
    <row r="14" spans="1:9" x14ac:dyDescent="0.2">
      <c r="A14" s="37" t="s">
        <v>25</v>
      </c>
      <c r="B14" s="139">
        <v>27677</v>
      </c>
      <c r="C14" s="139">
        <v>28611</v>
      </c>
      <c r="D14" s="40">
        <f>C14-B14</f>
        <v>934</v>
      </c>
      <c r="E14" s="40">
        <v>30143</v>
      </c>
      <c r="F14" s="70">
        <f>E14-C14</f>
        <v>1532</v>
      </c>
      <c r="G14" s="40">
        <f>G13-G15</f>
        <v>31557.33968461326</v>
      </c>
      <c r="H14" s="40">
        <f>H13-H15</f>
        <v>30667.525704798569</v>
      </c>
      <c r="I14" s="251"/>
    </row>
    <row r="15" spans="1:9" x14ac:dyDescent="0.2">
      <c r="A15" s="37" t="s">
        <v>26</v>
      </c>
      <c r="B15" s="139">
        <f>B13-B14</f>
        <v>7551</v>
      </c>
      <c r="C15" s="139">
        <f>C13-C14</f>
        <v>8624</v>
      </c>
      <c r="D15" s="40">
        <f>C15-B15</f>
        <v>1073</v>
      </c>
      <c r="E15" s="139">
        <f>E13-E14</f>
        <v>9352</v>
      </c>
      <c r="F15" s="70">
        <f>E15-C15</f>
        <v>728</v>
      </c>
      <c r="G15" s="40">
        <f>G16*G13</f>
        <v>9790.8051862954326</v>
      </c>
      <c r="H15" s="40">
        <f>H16*H13</f>
        <v>9514.7364360307947</v>
      </c>
      <c r="I15" s="251"/>
    </row>
    <row r="16" spans="1:9" x14ac:dyDescent="0.2">
      <c r="A16" s="37" t="s">
        <v>27</v>
      </c>
      <c r="B16" s="43">
        <f>B15/B13</f>
        <v>0.21434654252299307</v>
      </c>
      <c r="C16" s="43">
        <f>C15/C13</f>
        <v>0.23161004431314625</v>
      </c>
      <c r="D16" s="37"/>
      <c r="E16" s="203">
        <f>E15/E13</f>
        <v>0.23678946702114193</v>
      </c>
      <c r="F16" s="202" t="s">
        <v>45</v>
      </c>
      <c r="G16" s="203">
        <f>E16</f>
        <v>0.23678946702114193</v>
      </c>
      <c r="H16" s="204">
        <f>G16</f>
        <v>0.23678946702114193</v>
      </c>
      <c r="I16" s="251"/>
    </row>
    <row r="17" spans="1:9" x14ac:dyDescent="0.2">
      <c r="A17" s="37"/>
      <c r="B17" s="41"/>
      <c r="C17" s="41"/>
      <c r="D17" s="41"/>
      <c r="E17" s="141"/>
      <c r="F17" s="37"/>
      <c r="G17" s="37"/>
      <c r="H17" s="37"/>
      <c r="I17" s="251"/>
    </row>
    <row r="18" spans="1:9" x14ac:dyDescent="0.2">
      <c r="A18" s="37" t="s">
        <v>31</v>
      </c>
      <c r="B18" s="41">
        <f>B2/B55</f>
        <v>0.96271658415841588</v>
      </c>
      <c r="C18" s="41">
        <f>C2/C55</f>
        <v>0.97876250044171176</v>
      </c>
      <c r="D18" s="41"/>
      <c r="E18" s="41">
        <f>E2/E55</f>
        <v>0.88018143292279172</v>
      </c>
      <c r="F18" s="37"/>
      <c r="G18" s="41"/>
      <c r="H18" s="41"/>
      <c r="I18" s="251"/>
    </row>
    <row r="19" spans="1:9" x14ac:dyDescent="0.2">
      <c r="A19" s="37"/>
      <c r="B19" s="40"/>
      <c r="C19" s="40"/>
      <c r="D19" s="37"/>
      <c r="E19" s="37"/>
      <c r="F19" s="37"/>
      <c r="G19" s="37"/>
      <c r="H19" s="37"/>
      <c r="I19" s="251"/>
    </row>
    <row r="20" spans="1:9" x14ac:dyDescent="0.2">
      <c r="A20" s="37" t="s">
        <v>128</v>
      </c>
      <c r="B20" s="41">
        <f>B24/B8</f>
        <v>1.5863837542306691</v>
      </c>
      <c r="C20" s="41">
        <f>C24/C8</f>
        <v>1.5825946617008069</v>
      </c>
      <c r="D20" s="37"/>
      <c r="E20" s="41">
        <f>E24/E8</f>
        <v>1.5995865758754864</v>
      </c>
      <c r="F20" s="140" t="s">
        <v>46</v>
      </c>
      <c r="G20" s="205">
        <f>+E20</f>
        <v>1.5995865758754864</v>
      </c>
      <c r="H20" s="41">
        <f>H24/H8</f>
        <v>1.5331025984817708</v>
      </c>
      <c r="I20" s="251"/>
    </row>
    <row r="21" spans="1:9" x14ac:dyDescent="0.2">
      <c r="A21" s="37" t="s">
        <v>94</v>
      </c>
      <c r="B21" s="41">
        <f>B29/B8</f>
        <v>0.521140328039573</v>
      </c>
      <c r="C21" s="41">
        <f>C29/C8</f>
        <v>0.546219739292365</v>
      </c>
      <c r="D21" s="37"/>
      <c r="E21" s="205">
        <f>E29/E8</f>
        <v>0.55785505836575877</v>
      </c>
      <c r="F21" s="202" t="s">
        <v>45</v>
      </c>
      <c r="G21" s="205">
        <f>AVERAGE(B21:E21)</f>
        <v>0.54173837523256563</v>
      </c>
      <c r="H21" s="206">
        <f>G21</f>
        <v>0.54173837523256563</v>
      </c>
      <c r="I21" s="252"/>
    </row>
    <row r="22" spans="1:9" x14ac:dyDescent="0.2">
      <c r="A22" s="37"/>
      <c r="B22" s="37"/>
      <c r="C22" s="37"/>
      <c r="D22" s="37"/>
      <c r="E22" s="37"/>
      <c r="F22" s="37"/>
      <c r="G22" s="37"/>
      <c r="H22" s="37"/>
      <c r="I22" s="161"/>
    </row>
    <row r="23" spans="1:9" x14ac:dyDescent="0.2">
      <c r="A23" s="64" t="s">
        <v>98</v>
      </c>
      <c r="B23" s="41"/>
      <c r="C23" s="41"/>
      <c r="D23" s="37"/>
      <c r="E23" s="37"/>
      <c r="F23" s="37"/>
      <c r="G23" s="37"/>
      <c r="H23" s="37"/>
      <c r="I23" s="159"/>
    </row>
    <row r="24" spans="1:9" x14ac:dyDescent="0.2">
      <c r="A24" s="37" t="s">
        <v>99</v>
      </c>
      <c r="B24" s="40">
        <v>60933</v>
      </c>
      <c r="C24" s="40">
        <f>73825-5306-3502-1278</f>
        <v>63739</v>
      </c>
      <c r="D24" s="40">
        <f>C24-B24</f>
        <v>2806</v>
      </c>
      <c r="E24" s="217">
        <f>61579+4196</f>
        <v>65775</v>
      </c>
      <c r="F24" s="70">
        <f>E24-C24</f>
        <v>2036</v>
      </c>
      <c r="G24" s="40">
        <f>+G20*G8</f>
        <v>68861.228734878314</v>
      </c>
      <c r="H24" s="40">
        <f>H25+H26</f>
        <v>64138.173799223849</v>
      </c>
      <c r="I24" s="217">
        <f>58305+3948</f>
        <v>62253</v>
      </c>
    </row>
    <row r="25" spans="1:9" x14ac:dyDescent="0.2">
      <c r="A25" s="37" t="s">
        <v>97</v>
      </c>
      <c r="B25" s="40">
        <v>3128</v>
      </c>
      <c r="C25" s="40">
        <v>3327</v>
      </c>
      <c r="D25" s="40">
        <f>C25-B25</f>
        <v>199</v>
      </c>
      <c r="E25" s="217">
        <v>4196</v>
      </c>
      <c r="F25" s="70">
        <f>E25-C25</f>
        <v>869</v>
      </c>
      <c r="G25" s="207">
        <f>I25</f>
        <v>3948</v>
      </c>
      <c r="H25" s="207">
        <f>I25</f>
        <v>3948</v>
      </c>
      <c r="I25" s="217">
        <v>3948</v>
      </c>
    </row>
    <row r="26" spans="1:9" x14ac:dyDescent="0.2">
      <c r="A26" s="37" t="s">
        <v>95</v>
      </c>
      <c r="B26" s="40">
        <f>B24-B25</f>
        <v>57805</v>
      </c>
      <c r="C26" s="40">
        <f>C24-C25</f>
        <v>60412</v>
      </c>
      <c r="D26" s="40">
        <f>C26-B26</f>
        <v>2607</v>
      </c>
      <c r="E26" s="40">
        <f>E24-E25</f>
        <v>61579</v>
      </c>
      <c r="F26" s="70">
        <f>E26-C26</f>
        <v>1167</v>
      </c>
      <c r="G26" s="40">
        <f>G24-G25</f>
        <v>64913.228734878314</v>
      </c>
      <c r="H26" s="154">
        <f>H29*H27</f>
        <v>60190.173799223849</v>
      </c>
      <c r="I26" s="154">
        <f>I24-I25</f>
        <v>58305</v>
      </c>
    </row>
    <row r="27" spans="1:9" x14ac:dyDescent="0.2">
      <c r="A27" s="37" t="s">
        <v>111</v>
      </c>
      <c r="B27" s="142">
        <f>B26/B29</f>
        <v>2.8877953739321578</v>
      </c>
      <c r="C27" s="142">
        <f>C26/C29</f>
        <v>2.7461248238556299</v>
      </c>
      <c r="D27" s="41"/>
      <c r="E27" s="142">
        <f>E26/E29</f>
        <v>2.6844675007628931</v>
      </c>
      <c r="F27" s="37"/>
      <c r="G27" s="142">
        <f>G26/G29</f>
        <v>2.783406218671411</v>
      </c>
      <c r="H27" s="208">
        <f>I27</f>
        <v>2.6617210682492582</v>
      </c>
      <c r="I27" s="208">
        <f>I26/I29</f>
        <v>2.6617210682492582</v>
      </c>
    </row>
    <row r="28" spans="1:9" x14ac:dyDescent="0.2">
      <c r="A28" s="37"/>
      <c r="B28" s="40"/>
      <c r="C28" s="40"/>
      <c r="D28" s="37"/>
      <c r="E28" s="37"/>
      <c r="F28" s="37"/>
      <c r="G28" s="159"/>
      <c r="H28" s="159"/>
      <c r="I28" s="159"/>
    </row>
    <row r="29" spans="1:9" x14ac:dyDescent="0.2">
      <c r="A29" s="37" t="s">
        <v>100</v>
      </c>
      <c r="B29" s="40">
        <v>20017</v>
      </c>
      <c r="C29" s="40">
        <v>21999</v>
      </c>
      <c r="D29" s="40">
        <f>C29-B29</f>
        <v>1982</v>
      </c>
      <c r="E29" s="217">
        <v>22939</v>
      </c>
      <c r="F29" s="70">
        <f>E29-C29</f>
        <v>940</v>
      </c>
      <c r="G29" s="154">
        <f>G8*G21</f>
        <v>23321.507403207215</v>
      </c>
      <c r="H29" s="223">
        <f>+AVERAGE(G29,I29)</f>
        <v>22613.253701603608</v>
      </c>
      <c r="I29" s="217">
        <v>21905</v>
      </c>
    </row>
    <row r="30" spans="1:9" x14ac:dyDescent="0.2">
      <c r="A30" s="37" t="s">
        <v>101</v>
      </c>
      <c r="B30" s="40">
        <v>13872</v>
      </c>
      <c r="C30" s="40">
        <v>15130</v>
      </c>
      <c r="D30" s="40">
        <f>C30-B30</f>
        <v>1258</v>
      </c>
      <c r="E30" s="217">
        <v>15521</v>
      </c>
      <c r="F30" s="70">
        <f>E30-C30</f>
        <v>391</v>
      </c>
      <c r="G30" s="154">
        <f>G29*G32</f>
        <v>15510.365031835707</v>
      </c>
      <c r="H30" s="154">
        <f>H29*H32</f>
        <v>15039.3288652151</v>
      </c>
      <c r="I30" s="217">
        <v>14568.292698594496</v>
      </c>
    </row>
    <row r="31" spans="1:9" x14ac:dyDescent="0.2">
      <c r="A31" s="37" t="s">
        <v>102</v>
      </c>
      <c r="B31" s="40">
        <v>6145</v>
      </c>
      <c r="C31" s="40">
        <v>6869</v>
      </c>
      <c r="D31" s="40">
        <f>C31-B31</f>
        <v>724</v>
      </c>
      <c r="E31" s="217">
        <v>7418</v>
      </c>
      <c r="F31" s="70">
        <f>E31-C31</f>
        <v>549</v>
      </c>
      <c r="G31" s="154">
        <f>G29-G30</f>
        <v>7811.1423713715085</v>
      </c>
      <c r="H31" s="154">
        <f>H29-H30</f>
        <v>7573.9248363885072</v>
      </c>
      <c r="I31" s="217">
        <v>7336.404529736531</v>
      </c>
    </row>
    <row r="32" spans="1:9" x14ac:dyDescent="0.2">
      <c r="A32" s="37" t="s">
        <v>103</v>
      </c>
      <c r="B32" s="43">
        <f>B30/B29</f>
        <v>0.6930109407004047</v>
      </c>
      <c r="C32" s="43">
        <f>C30/C29</f>
        <v>0.68775853447883994</v>
      </c>
      <c r="D32" s="42"/>
      <c r="E32" s="43">
        <f>E30/E29</f>
        <v>0.67662060246741362</v>
      </c>
      <c r="F32" s="37"/>
      <c r="G32" s="203">
        <f>H32</f>
        <v>0.66506700290319543</v>
      </c>
      <c r="H32" s="203">
        <f>I32</f>
        <v>0.66506700290319543</v>
      </c>
      <c r="I32" s="203">
        <f>I30/I29</f>
        <v>0.66506700290319543</v>
      </c>
    </row>
    <row r="33" spans="1:9" x14ac:dyDescent="0.2">
      <c r="A33" s="37" t="s">
        <v>104</v>
      </c>
      <c r="B33" s="43">
        <f>B31/B29</f>
        <v>0.30698905929959536</v>
      </c>
      <c r="C33" s="43">
        <f>C31/C29</f>
        <v>0.31224146552116006</v>
      </c>
      <c r="D33" s="42"/>
      <c r="E33" s="43">
        <f>E31/E29</f>
        <v>0.32337939753258643</v>
      </c>
      <c r="F33" s="37"/>
      <c r="G33" s="203">
        <f>1-G32</f>
        <v>0.33493299709680457</v>
      </c>
      <c r="H33" s="203">
        <f>1-H32</f>
        <v>0.33493299709680457</v>
      </c>
      <c r="I33" s="203">
        <f>I31/I29</f>
        <v>0.33491917506215618</v>
      </c>
    </row>
    <row r="34" spans="1:9" x14ac:dyDescent="0.2">
      <c r="A34" s="37"/>
      <c r="B34" s="40"/>
      <c r="C34" s="40"/>
      <c r="D34" s="37"/>
      <c r="E34" s="37"/>
      <c r="F34" s="37"/>
      <c r="G34" s="159"/>
      <c r="H34" s="159"/>
      <c r="I34" s="159"/>
    </row>
    <row r="35" spans="1:9" x14ac:dyDescent="0.2">
      <c r="A35" s="64" t="s">
        <v>171</v>
      </c>
      <c r="B35" s="43"/>
      <c r="C35" s="43"/>
      <c r="D35" s="37"/>
      <c r="E35" s="37"/>
      <c r="F35" s="37"/>
      <c r="G35" s="154"/>
      <c r="H35" s="154"/>
      <c r="I35" s="154"/>
    </row>
    <row r="36" spans="1:9" x14ac:dyDescent="0.2">
      <c r="A36" s="37" t="s">
        <v>105</v>
      </c>
      <c r="B36" s="40">
        <v>9188</v>
      </c>
      <c r="C36" s="40">
        <f>5306+3502+1278</f>
        <v>10086</v>
      </c>
      <c r="D36" s="40">
        <f>C36-B36</f>
        <v>898</v>
      </c>
      <c r="E36" s="217">
        <f>10911+431</f>
        <v>11342</v>
      </c>
      <c r="F36" s="70">
        <f>E36-C36</f>
        <v>1256</v>
      </c>
      <c r="G36" s="210">
        <f>I36</f>
        <v>15799</v>
      </c>
      <c r="H36" s="210">
        <f>I36</f>
        <v>15799</v>
      </c>
      <c r="I36" s="217">
        <f>15280+519</f>
        <v>15799</v>
      </c>
    </row>
    <row r="37" spans="1:9" x14ac:dyDescent="0.2">
      <c r="A37" s="37" t="s">
        <v>106</v>
      </c>
      <c r="B37" s="43">
        <f>B36/B50</f>
        <v>0.13103064702442921</v>
      </c>
      <c r="C37" s="43">
        <f>C36/C50</f>
        <v>0.13662038604808668</v>
      </c>
      <c r="D37" s="43"/>
      <c r="E37" s="43">
        <f>E36/E50</f>
        <v>0.14707522336190465</v>
      </c>
      <c r="F37" s="43"/>
      <c r="G37" s="195">
        <f>G36/G50</f>
        <v>0.18661655225945697</v>
      </c>
      <c r="H37" s="195">
        <f>H36/H50</f>
        <v>0.19764271426060101</v>
      </c>
      <c r="I37" s="195">
        <f>I36/I50</f>
        <v>0.20241633782606466</v>
      </c>
    </row>
    <row r="38" spans="1:9" x14ac:dyDescent="0.2">
      <c r="A38" s="37" t="s">
        <v>107</v>
      </c>
      <c r="B38" s="70">
        <v>541</v>
      </c>
      <c r="C38" s="70">
        <v>703</v>
      </c>
      <c r="D38" s="40">
        <f>C38-B38</f>
        <v>162</v>
      </c>
      <c r="E38" s="217">
        <v>431</v>
      </c>
      <c r="F38" s="70">
        <f>E38-C38</f>
        <v>-272</v>
      </c>
      <c r="G38" s="154">
        <f>I38</f>
        <v>519</v>
      </c>
      <c r="H38" s="154">
        <f>I38</f>
        <v>519</v>
      </c>
      <c r="I38" s="217">
        <v>519</v>
      </c>
    </row>
    <row r="39" spans="1:9" x14ac:dyDescent="0.2">
      <c r="A39" s="37" t="s">
        <v>108</v>
      </c>
      <c r="B39" s="40">
        <f>B36-B38</f>
        <v>8647</v>
      </c>
      <c r="C39" s="40">
        <f>C36-C38</f>
        <v>9383</v>
      </c>
      <c r="D39" s="40">
        <f>C39-B39</f>
        <v>736</v>
      </c>
      <c r="E39" s="40">
        <f>E36-E38</f>
        <v>10911</v>
      </c>
      <c r="F39" s="70">
        <f>E39-C39</f>
        <v>1528</v>
      </c>
      <c r="G39" s="154">
        <f>G36-G38</f>
        <v>15280</v>
      </c>
      <c r="H39" s="154">
        <f>H36-H38</f>
        <v>15280</v>
      </c>
      <c r="I39" s="154">
        <f>I36-I38</f>
        <v>15280</v>
      </c>
    </row>
    <row r="40" spans="1:9" x14ac:dyDescent="0.2">
      <c r="A40" s="37"/>
      <c r="B40" s="40"/>
      <c r="C40" s="40"/>
      <c r="D40" s="40"/>
      <c r="E40" s="40"/>
      <c r="F40" s="70"/>
      <c r="G40" s="154"/>
      <c r="H40" s="154"/>
      <c r="I40" s="154"/>
    </row>
    <row r="41" spans="1:9" x14ac:dyDescent="0.2">
      <c r="A41" s="37" t="s">
        <v>109</v>
      </c>
      <c r="B41" s="40">
        <v>5839</v>
      </c>
      <c r="C41" s="40">
        <v>6300</v>
      </c>
      <c r="D41" s="40">
        <f>C41-B41</f>
        <v>461</v>
      </c>
      <c r="E41" s="217">
        <v>7265</v>
      </c>
      <c r="F41" s="70">
        <f>E41-C41</f>
        <v>965</v>
      </c>
      <c r="G41" s="207">
        <f>G39/G43</f>
        <v>10092</v>
      </c>
      <c r="H41" s="207">
        <f>H39/H43</f>
        <v>10092</v>
      </c>
      <c r="I41" s="217">
        <v>10092</v>
      </c>
    </row>
    <row r="42" spans="1:9" x14ac:dyDescent="0.2">
      <c r="A42" s="37" t="s">
        <v>110</v>
      </c>
      <c r="B42" s="43">
        <f>B41/B55</f>
        <v>0.2258276608910891</v>
      </c>
      <c r="C42" s="43">
        <f>C41/C55</f>
        <v>0.22262270751616664</v>
      </c>
      <c r="D42" s="42"/>
      <c r="E42" s="43">
        <f>E41/E55</f>
        <v>0.24053105548933917</v>
      </c>
      <c r="F42" s="37"/>
      <c r="G42" s="43">
        <f>G41/G55</f>
        <v>0.30203354225038087</v>
      </c>
      <c r="H42" s="43">
        <f>H41/H55</f>
        <v>0.3085742765390983</v>
      </c>
      <c r="I42" s="195">
        <f>I41/I55</f>
        <v>0.31540456917836046</v>
      </c>
    </row>
    <row r="43" spans="1:9" x14ac:dyDescent="0.2">
      <c r="A43" s="37" t="s">
        <v>112</v>
      </c>
      <c r="B43" s="142">
        <f>B39/B41</f>
        <v>1.4809042644288406</v>
      </c>
      <c r="C43" s="142">
        <f>C39/C41</f>
        <v>1.4893650793650794</v>
      </c>
      <c r="D43" s="37"/>
      <c r="E43" s="142">
        <f>E39/E41</f>
        <v>1.501858224363386</v>
      </c>
      <c r="F43" s="37"/>
      <c r="G43" s="209">
        <f>H43</f>
        <v>1.5140705509314309</v>
      </c>
      <c r="H43" s="209">
        <f>I43</f>
        <v>1.5140705509314309</v>
      </c>
      <c r="I43" s="209">
        <f>I39/I41</f>
        <v>1.5140705509314309</v>
      </c>
    </row>
    <row r="44" spans="1:9" x14ac:dyDescent="0.2">
      <c r="A44" s="37"/>
      <c r="B44" s="142"/>
      <c r="C44" s="142"/>
      <c r="D44" s="42"/>
      <c r="E44" s="42"/>
      <c r="F44" s="37"/>
      <c r="G44" s="37"/>
      <c r="H44" s="37"/>
      <c r="I44" s="37"/>
    </row>
    <row r="45" spans="1:9" x14ac:dyDescent="0.2">
      <c r="A45" s="37" t="s">
        <v>113</v>
      </c>
      <c r="B45" s="40">
        <v>4343</v>
      </c>
      <c r="C45" s="40">
        <f>2757+1719+443</f>
        <v>4919</v>
      </c>
      <c r="D45" s="40">
        <f>C45-B45</f>
        <v>576</v>
      </c>
      <c r="E45" s="217">
        <v>5627</v>
      </c>
      <c r="F45" s="70">
        <f>E45-C45</f>
        <v>708</v>
      </c>
      <c r="G45" s="207">
        <f>G47*G41</f>
        <v>7891.3755171600224</v>
      </c>
      <c r="H45" s="207">
        <f>H47*H41</f>
        <v>7891.3755171600224</v>
      </c>
      <c r="I45" s="217">
        <v>7891.3755171600224</v>
      </c>
    </row>
    <row r="46" spans="1:9" x14ac:dyDescent="0.2">
      <c r="A46" s="37" t="s">
        <v>114</v>
      </c>
      <c r="B46" s="40">
        <v>1496</v>
      </c>
      <c r="C46" s="40">
        <v>1381</v>
      </c>
      <c r="D46" s="40">
        <f>C46-B46</f>
        <v>-115</v>
      </c>
      <c r="E46" s="217">
        <v>1638</v>
      </c>
      <c r="F46" s="70">
        <f>E46-C46</f>
        <v>257</v>
      </c>
      <c r="G46" s="40">
        <f>G41-G45</f>
        <v>2200.6244828399776</v>
      </c>
      <c r="H46" s="40">
        <f>H41-H45</f>
        <v>2200.6244828399776</v>
      </c>
      <c r="I46" s="217">
        <v>2200.1651842056353</v>
      </c>
    </row>
    <row r="47" spans="1:9" x14ac:dyDescent="0.2">
      <c r="A47" s="37" t="s">
        <v>115</v>
      </c>
      <c r="B47" s="43">
        <f>B45/B41</f>
        <v>0.74379174516184277</v>
      </c>
      <c r="C47" s="43">
        <f>C45/C41</f>
        <v>0.78079365079365082</v>
      </c>
      <c r="D47" s="37"/>
      <c r="E47" s="43">
        <f>E45/E41</f>
        <v>0.77453544390915352</v>
      </c>
      <c r="F47" s="37"/>
      <c r="G47" s="211">
        <f>H47</f>
        <v>0.7819436699524398</v>
      </c>
      <c r="H47" s="211">
        <f>I47</f>
        <v>0.7819436699524398</v>
      </c>
      <c r="I47" s="211">
        <f>I45/I41</f>
        <v>0.7819436699524398</v>
      </c>
    </row>
    <row r="48" spans="1:9" x14ac:dyDescent="0.2">
      <c r="A48" s="37" t="s">
        <v>116</v>
      </c>
      <c r="B48" s="43">
        <f>B46/B41</f>
        <v>0.25620825483815723</v>
      </c>
      <c r="C48" s="43">
        <f>C46/C41</f>
        <v>0.21920634920634921</v>
      </c>
      <c r="D48" s="37"/>
      <c r="E48" s="43">
        <f>E46/E41</f>
        <v>0.22546455609084654</v>
      </c>
      <c r="F48" s="37"/>
      <c r="G48" s="211">
        <f>1-G47</f>
        <v>0.2180563300475602</v>
      </c>
      <c r="H48" s="211">
        <f>1-H47</f>
        <v>0.2180563300475602</v>
      </c>
      <c r="I48" s="211">
        <f>I46/I41</f>
        <v>0.21801081888680493</v>
      </c>
    </row>
    <row r="49" spans="1:9" x14ac:dyDescent="0.2">
      <c r="A49" s="37"/>
      <c r="B49" s="43"/>
      <c r="C49" s="43"/>
      <c r="D49" s="37"/>
      <c r="E49" s="37"/>
      <c r="F49" s="37"/>
      <c r="G49" s="37"/>
      <c r="H49" s="37"/>
      <c r="I49" s="37"/>
    </row>
    <row r="50" spans="1:9" x14ac:dyDescent="0.2">
      <c r="A50" s="64" t="s">
        <v>129</v>
      </c>
      <c r="B50" s="40">
        <f>B24+B36</f>
        <v>70121</v>
      </c>
      <c r="C50" s="40">
        <f>C24+C36</f>
        <v>73825</v>
      </c>
      <c r="D50" s="40">
        <f>C50-B50</f>
        <v>3704</v>
      </c>
      <c r="E50" s="40">
        <f>E24+E36</f>
        <v>77117</v>
      </c>
      <c r="F50" s="70">
        <f>E50-C50</f>
        <v>3292</v>
      </c>
      <c r="G50" s="40">
        <f>G24+G36</f>
        <v>84660.228734878314</v>
      </c>
      <c r="H50" s="40">
        <f>H24+H36</f>
        <v>79937.173799223849</v>
      </c>
      <c r="I50" s="40">
        <f>I24+I36</f>
        <v>78052</v>
      </c>
    </row>
    <row r="51" spans="1:9" s="147" customFormat="1" x14ac:dyDescent="0.2">
      <c r="A51" s="37" t="s">
        <v>96</v>
      </c>
      <c r="B51" s="40">
        <f>B25+B38</f>
        <v>3669</v>
      </c>
      <c r="C51" s="40">
        <f>C25+C38</f>
        <v>4030</v>
      </c>
      <c r="D51" s="40">
        <f>C51-B51</f>
        <v>361</v>
      </c>
      <c r="E51" s="40">
        <f>E25+E38</f>
        <v>4627</v>
      </c>
      <c r="F51" s="70">
        <f>E51-C51</f>
        <v>597</v>
      </c>
      <c r="G51" s="212">
        <f>G25+G38</f>
        <v>4467</v>
      </c>
      <c r="H51" s="212">
        <f>H25+H38</f>
        <v>4467</v>
      </c>
      <c r="I51" s="212">
        <f>I25+I38</f>
        <v>4467</v>
      </c>
    </row>
    <row r="52" spans="1:9" x14ac:dyDescent="0.2">
      <c r="A52" s="37" t="s">
        <v>95</v>
      </c>
      <c r="B52" s="40">
        <f>B50-B51</f>
        <v>66452</v>
      </c>
      <c r="C52" s="40">
        <f>C50-C51</f>
        <v>69795</v>
      </c>
      <c r="D52" s="40">
        <f>C52-B52</f>
        <v>3343</v>
      </c>
      <c r="E52" s="40">
        <f>E50-E51</f>
        <v>72490</v>
      </c>
      <c r="F52" s="70">
        <f>E52-C52</f>
        <v>2695</v>
      </c>
      <c r="G52" s="40">
        <f>G50-G51</f>
        <v>80193.228734878314</v>
      </c>
      <c r="H52" s="40">
        <f>H50-H51</f>
        <v>75470.173799223849</v>
      </c>
      <c r="I52" s="40">
        <f>I50-I51</f>
        <v>73585</v>
      </c>
    </row>
    <row r="53" spans="1:9" x14ac:dyDescent="0.2">
      <c r="A53" s="37" t="s">
        <v>126</v>
      </c>
      <c r="B53" s="142">
        <f>B52/B55</f>
        <v>2.5700804455445545</v>
      </c>
      <c r="C53" s="142">
        <f>C52/C55</f>
        <v>2.4663415668398176</v>
      </c>
      <c r="D53" s="37"/>
      <c r="E53" s="142">
        <f>E52/E55</f>
        <v>2.400013243279036</v>
      </c>
      <c r="F53" s="37"/>
      <c r="G53" s="142">
        <f>G52/G55</f>
        <v>2.4000242706391521</v>
      </c>
      <c r="H53" s="142">
        <f>H52/H55</f>
        <v>2.3075856401481878</v>
      </c>
      <c r="I53" s="142">
        <f>I52/I55</f>
        <v>2.2997468512673063</v>
      </c>
    </row>
    <row r="54" spans="1:9" x14ac:dyDescent="0.2">
      <c r="A54" s="37"/>
      <c r="B54" s="43"/>
      <c r="C54" s="43"/>
      <c r="D54" s="37"/>
      <c r="E54" s="37"/>
      <c r="F54" s="37"/>
      <c r="G54" s="37"/>
      <c r="H54" s="37"/>
      <c r="I54" s="37"/>
    </row>
    <row r="55" spans="1:9" x14ac:dyDescent="0.2">
      <c r="A55" s="64" t="s">
        <v>58</v>
      </c>
      <c r="B55" s="40">
        <v>25856</v>
      </c>
      <c r="C55" s="40">
        <v>28299</v>
      </c>
      <c r="D55" s="40">
        <f>C55-B55</f>
        <v>2443</v>
      </c>
      <c r="E55" s="40">
        <f>E29+E41</f>
        <v>30204</v>
      </c>
      <c r="F55" s="70">
        <f>E55-C55</f>
        <v>1905</v>
      </c>
      <c r="G55" s="40">
        <f>G29+G41</f>
        <v>33413.507403207215</v>
      </c>
      <c r="H55" s="40">
        <f>H29+H41</f>
        <v>32705.253701603608</v>
      </c>
      <c r="I55" s="40">
        <f>I29+I41</f>
        <v>31997</v>
      </c>
    </row>
    <row r="56" spans="1:9" x14ac:dyDescent="0.2">
      <c r="A56" s="37" t="s">
        <v>101</v>
      </c>
      <c r="B56" s="40">
        <v>18215</v>
      </c>
      <c r="C56" s="40">
        <v>20049</v>
      </c>
      <c r="D56" s="40">
        <f>C56-B56</f>
        <v>1834</v>
      </c>
      <c r="E56" s="40">
        <f>E30+E45</f>
        <v>21148</v>
      </c>
      <c r="F56" s="70">
        <f>E56-C56</f>
        <v>1099</v>
      </c>
      <c r="G56" s="40">
        <f>G30+G45</f>
        <v>23401.740548995731</v>
      </c>
      <c r="H56" s="40">
        <f>H30+H45</f>
        <v>22930.704382375123</v>
      </c>
      <c r="I56" s="40">
        <f>I30+I45</f>
        <v>22459.668215754518</v>
      </c>
    </row>
    <row r="57" spans="1:9" x14ac:dyDescent="0.2">
      <c r="A57" s="37" t="s">
        <v>102</v>
      </c>
      <c r="B57" s="40">
        <v>7641</v>
      </c>
      <c r="C57" s="40">
        <v>8250</v>
      </c>
      <c r="D57" s="40">
        <f>C57-B57</f>
        <v>609</v>
      </c>
      <c r="E57" s="40">
        <f>E31+E46</f>
        <v>9056</v>
      </c>
      <c r="F57" s="70">
        <f>E57-C57</f>
        <v>806</v>
      </c>
      <c r="G57" s="40">
        <f>G31+G46</f>
        <v>10011.766854211486</v>
      </c>
      <c r="H57" s="40">
        <f>H31+H46</f>
        <v>9774.5493192284848</v>
      </c>
      <c r="I57" s="40">
        <f>I55-I56</f>
        <v>9537.3317842454817</v>
      </c>
    </row>
    <row r="58" spans="1:9" x14ac:dyDescent="0.2">
      <c r="A58" s="37" t="s">
        <v>103</v>
      </c>
      <c r="B58" s="43">
        <f>B56/B55</f>
        <v>0.70447865099009899</v>
      </c>
      <c r="C58" s="43">
        <f>C56/C55</f>
        <v>0.70847026396692458</v>
      </c>
      <c r="D58" s="37"/>
      <c r="E58" s="43">
        <f>E56/E55</f>
        <v>0.70017216262746651</v>
      </c>
      <c r="F58" s="37"/>
      <c r="G58" s="43">
        <f>G56/G55</f>
        <v>0.70036767665849708</v>
      </c>
      <c r="H58" s="43">
        <f>H56/H55</f>
        <v>0.70113213588221701</v>
      </c>
      <c r="I58" s="43">
        <f>I56/I55</f>
        <v>0.70193043772086505</v>
      </c>
    </row>
    <row r="59" spans="1:9" x14ac:dyDescent="0.2">
      <c r="A59" s="37" t="s">
        <v>104</v>
      </c>
      <c r="B59" s="43">
        <f>B57/B55</f>
        <v>0.29552134900990101</v>
      </c>
      <c r="C59" s="43">
        <f>C57/C55</f>
        <v>0.29152973603307536</v>
      </c>
      <c r="D59" s="37"/>
      <c r="E59" s="43">
        <f>E57/E55</f>
        <v>0.29982783737253343</v>
      </c>
      <c r="F59" s="37"/>
      <c r="G59" s="43">
        <f>1-G58</f>
        <v>0.29963232334150292</v>
      </c>
      <c r="H59" s="43">
        <f>1-H58</f>
        <v>0.29886786411778299</v>
      </c>
      <c r="I59" s="43">
        <f>1-I58</f>
        <v>0.29806956227913495</v>
      </c>
    </row>
    <row r="60" spans="1:9" ht="15.75" x14ac:dyDescent="0.2">
      <c r="A60" s="213"/>
      <c r="B60" s="213"/>
      <c r="C60" s="213"/>
      <c r="D60" s="214"/>
      <c r="E60" s="215"/>
      <c r="F60" s="214"/>
      <c r="G60" s="215"/>
      <c r="H60" s="215"/>
      <c r="I60" s="216"/>
    </row>
    <row r="61" spans="1:9" x14ac:dyDescent="0.2">
      <c r="A61" s="64" t="s">
        <v>93</v>
      </c>
      <c r="B61" s="40"/>
      <c r="C61" s="40"/>
      <c r="D61" s="40"/>
      <c r="E61" s="40"/>
      <c r="F61" s="37"/>
      <c r="G61" s="40"/>
      <c r="H61" s="40"/>
      <c r="I61" s="40"/>
    </row>
    <row r="62" spans="1:9" x14ac:dyDescent="0.2">
      <c r="A62" s="37" t="s">
        <v>1</v>
      </c>
      <c r="B62" s="40">
        <v>409</v>
      </c>
      <c r="C62" s="40">
        <v>246</v>
      </c>
      <c r="D62" s="40">
        <f t="shared" ref="D62:D68" si="0">C62-B62</f>
        <v>-163</v>
      </c>
      <c r="E62" s="40">
        <v>410</v>
      </c>
      <c r="F62" s="40">
        <f>+E62-C62</f>
        <v>164</v>
      </c>
      <c r="G62" s="40">
        <f t="shared" ref="G62:I63" si="1">G56/(1-G70)-G56</f>
        <v>236.38121766662516</v>
      </c>
      <c r="H62" s="40">
        <f t="shared" si="1"/>
        <v>231.62327658964932</v>
      </c>
      <c r="I62" s="40">
        <f t="shared" si="1"/>
        <v>226.86533551267348</v>
      </c>
    </row>
    <row r="63" spans="1:9" x14ac:dyDescent="0.2">
      <c r="A63" s="37" t="s">
        <v>2</v>
      </c>
      <c r="B63" s="40">
        <v>496</v>
      </c>
      <c r="C63" s="40">
        <v>302</v>
      </c>
      <c r="D63" s="40">
        <f t="shared" si="0"/>
        <v>-194</v>
      </c>
      <c r="E63" s="40">
        <v>703</v>
      </c>
      <c r="F63" s="40">
        <f t="shared" ref="F63:F68" si="2">+E63-C63</f>
        <v>401</v>
      </c>
      <c r="G63" s="40">
        <f t="shared" si="1"/>
        <v>417.15695225881245</v>
      </c>
      <c r="H63" s="40">
        <f t="shared" si="1"/>
        <v>407.27288830118778</v>
      </c>
      <c r="I63" s="40">
        <f t="shared" si="1"/>
        <v>397.38882434356128</v>
      </c>
    </row>
    <row r="64" spans="1:9" x14ac:dyDescent="0.2">
      <c r="A64" s="37" t="s">
        <v>8</v>
      </c>
      <c r="B64" s="40">
        <v>153</v>
      </c>
      <c r="C64" s="40">
        <v>151</v>
      </c>
      <c r="D64" s="40">
        <f t="shared" si="0"/>
        <v>-2</v>
      </c>
      <c r="E64" s="139">
        <v>147</v>
      </c>
      <c r="F64" s="40">
        <f t="shared" si="2"/>
        <v>-4</v>
      </c>
      <c r="G64" s="140" t="s">
        <v>32</v>
      </c>
      <c r="H64" s="40"/>
      <c r="I64" s="40"/>
    </row>
    <row r="65" spans="1:13" x14ac:dyDescent="0.2">
      <c r="A65" s="37" t="s">
        <v>10</v>
      </c>
      <c r="B65" s="40">
        <v>2832</v>
      </c>
      <c r="C65" s="40">
        <v>2532</v>
      </c>
      <c r="D65" s="40">
        <f t="shared" si="0"/>
        <v>-300</v>
      </c>
      <c r="E65" s="139">
        <v>2746</v>
      </c>
      <c r="F65" s="40">
        <f t="shared" si="2"/>
        <v>214</v>
      </c>
      <c r="G65" s="140" t="s">
        <v>32</v>
      </c>
      <c r="H65" s="40"/>
      <c r="I65" s="40"/>
    </row>
    <row r="66" spans="1:13" x14ac:dyDescent="0.2">
      <c r="A66" s="37" t="s">
        <v>7</v>
      </c>
      <c r="B66" s="40">
        <v>604</v>
      </c>
      <c r="C66" s="40">
        <v>346</v>
      </c>
      <c r="D66" s="40">
        <f t="shared" si="0"/>
        <v>-258</v>
      </c>
      <c r="E66" s="139">
        <v>561</v>
      </c>
      <c r="F66" s="40">
        <f t="shared" si="2"/>
        <v>215</v>
      </c>
      <c r="G66" s="140" t="s">
        <v>32</v>
      </c>
      <c r="H66" s="40"/>
      <c r="I66" s="40"/>
    </row>
    <row r="67" spans="1:13" x14ac:dyDescent="0.2">
      <c r="A67" s="37" t="s">
        <v>11</v>
      </c>
      <c r="B67" s="40">
        <f>SUM(B62:B66)</f>
        <v>4494</v>
      </c>
      <c r="C67" s="40">
        <f>SUM(C62:C66)</f>
        <v>3577</v>
      </c>
      <c r="D67" s="40">
        <f t="shared" si="0"/>
        <v>-917</v>
      </c>
      <c r="E67" s="139">
        <v>4569</v>
      </c>
      <c r="F67" s="40">
        <f t="shared" si="2"/>
        <v>992</v>
      </c>
      <c r="G67" s="140" t="s">
        <v>32</v>
      </c>
      <c r="H67" s="40"/>
      <c r="I67" s="40"/>
    </row>
    <row r="68" spans="1:13" x14ac:dyDescent="0.2">
      <c r="A68" s="37" t="s">
        <v>9</v>
      </c>
      <c r="B68" s="40">
        <v>30350</v>
      </c>
      <c r="C68" s="40">
        <v>31876</v>
      </c>
      <c r="D68" s="40">
        <f t="shared" si="0"/>
        <v>1526</v>
      </c>
      <c r="E68" s="139">
        <v>34773</v>
      </c>
      <c r="F68" s="40">
        <f t="shared" si="2"/>
        <v>2897</v>
      </c>
      <c r="G68" s="140" t="s">
        <v>32</v>
      </c>
      <c r="H68" s="40"/>
      <c r="I68" s="40"/>
    </row>
    <row r="69" spans="1:13" ht="14.25" x14ac:dyDescent="0.2">
      <c r="A69" s="37"/>
      <c r="B69" s="174"/>
      <c r="C69" s="174"/>
      <c r="D69" s="37"/>
      <c r="E69" s="42"/>
      <c r="F69" s="37"/>
      <c r="G69" s="43"/>
      <c r="H69" s="43"/>
      <c r="I69" s="43"/>
    </row>
    <row r="70" spans="1:13" x14ac:dyDescent="0.2">
      <c r="A70" s="37" t="s">
        <v>4</v>
      </c>
      <c r="B70" s="43">
        <f>B62/B81</f>
        <v>2.1960910652920961E-2</v>
      </c>
      <c r="C70" s="43">
        <f>C62/C81</f>
        <v>1.2121212121212121E-2</v>
      </c>
      <c r="D70" s="42"/>
      <c r="E70" s="43">
        <f>E62/E81</f>
        <v>1.9018461823916876E-2</v>
      </c>
      <c r="F70" s="37"/>
      <c r="G70" s="218">
        <v>0.01</v>
      </c>
      <c r="H70" s="43">
        <f>G70</f>
        <v>0.01</v>
      </c>
      <c r="I70" s="43">
        <f>H70</f>
        <v>0.01</v>
      </c>
    </row>
    <row r="71" spans="1:13" x14ac:dyDescent="0.2">
      <c r="A71" s="37" t="s">
        <v>3</v>
      </c>
      <c r="B71" s="43">
        <f>B63/B82</f>
        <v>6.095612633648765E-2</v>
      </c>
      <c r="C71" s="43">
        <f>C63/C82</f>
        <v>3.5313376987839103E-2</v>
      </c>
      <c r="D71" s="42"/>
      <c r="E71" s="43">
        <f>E63/E82</f>
        <v>7.203606926939235E-2</v>
      </c>
      <c r="F71" s="37"/>
      <c r="G71" s="218">
        <v>0.04</v>
      </c>
      <c r="H71" s="43">
        <f>G71</f>
        <v>0.04</v>
      </c>
      <c r="I71" s="43">
        <f>H71</f>
        <v>0.04</v>
      </c>
      <c r="J71" s="4"/>
    </row>
    <row r="72" spans="1:13" x14ac:dyDescent="0.2">
      <c r="A72" s="37" t="s">
        <v>5</v>
      </c>
      <c r="B72" s="43">
        <f>(B62+B63)/B83</f>
        <v>3.3817869287395837E-2</v>
      </c>
      <c r="C72" s="43">
        <f>(C62+C63)/C83</f>
        <v>1.8996776094567892E-2</v>
      </c>
      <c r="D72" s="42"/>
      <c r="E72" s="43">
        <f>(E62+E63)/E83</f>
        <v>3.5539802663090335E-2</v>
      </c>
      <c r="F72" s="37"/>
      <c r="G72" s="43">
        <f>(G62+G63)/G83</f>
        <v>1.9091802633407817E-2</v>
      </c>
      <c r="H72" s="43">
        <f>(H62+H63)/H83</f>
        <v>1.9066715743923896E-2</v>
      </c>
      <c r="I72" s="43">
        <f>(I62+I63)/I83</f>
        <v>1.9040522562174738E-2</v>
      </c>
    </row>
    <row r="73" spans="1:13" x14ac:dyDescent="0.2">
      <c r="A73" s="37"/>
      <c r="B73" s="43"/>
      <c r="C73" s="43"/>
      <c r="D73" s="42"/>
      <c r="E73" s="42"/>
      <c r="F73" s="37"/>
      <c r="G73" s="37"/>
      <c r="H73" s="37"/>
      <c r="I73" s="37"/>
    </row>
    <row r="74" spans="1:13" x14ac:dyDescent="0.2">
      <c r="A74" s="37"/>
      <c r="B74" s="43"/>
      <c r="C74" s="43"/>
      <c r="D74" s="42"/>
      <c r="E74" s="42"/>
      <c r="F74" s="37"/>
      <c r="G74" s="37"/>
      <c r="H74" s="37"/>
      <c r="I74" s="37"/>
    </row>
    <row r="75" spans="1:13" x14ac:dyDescent="0.2">
      <c r="A75" s="37" t="s">
        <v>38</v>
      </c>
      <c r="B75" s="43"/>
      <c r="C75" s="43"/>
      <c r="D75" s="42"/>
      <c r="E75" s="42"/>
      <c r="F75" s="37"/>
      <c r="G75" s="154">
        <f>0.0005*8*E81</f>
        <v>86.231999999999999</v>
      </c>
      <c r="H75" s="154">
        <f>G75</f>
        <v>86.231999999999999</v>
      </c>
      <c r="I75" s="154">
        <f>H75</f>
        <v>86.231999999999999</v>
      </c>
    </row>
    <row r="76" spans="1:13" x14ac:dyDescent="0.2">
      <c r="A76" s="37" t="s">
        <v>39</v>
      </c>
      <c r="B76" s="43"/>
      <c r="C76" s="43"/>
      <c r="D76" s="42"/>
      <c r="E76" s="42"/>
      <c r="F76" s="37"/>
      <c r="G76" s="154">
        <f>0.001*8*E82</f>
        <v>78.072000000000003</v>
      </c>
      <c r="H76" s="154">
        <f>G76</f>
        <v>78.072000000000003</v>
      </c>
      <c r="I76" s="154">
        <f>H76</f>
        <v>78.072000000000003</v>
      </c>
    </row>
    <row r="77" spans="1:13" x14ac:dyDescent="0.2">
      <c r="A77" s="37" t="s">
        <v>47</v>
      </c>
      <c r="B77" s="43"/>
      <c r="C77" s="43"/>
      <c r="D77" s="42"/>
      <c r="E77" s="42"/>
      <c r="F77" s="37"/>
      <c r="G77" s="154">
        <f>G75+G76</f>
        <v>164.304</v>
      </c>
      <c r="H77" s="154">
        <f>H75+H76</f>
        <v>164.304</v>
      </c>
      <c r="I77" s="154">
        <f>I75+I76</f>
        <v>164.304</v>
      </c>
    </row>
    <row r="78" spans="1:13" x14ac:dyDescent="0.2">
      <c r="A78" s="31"/>
      <c r="B78" s="38"/>
      <c r="C78" s="38"/>
      <c r="D78" s="44"/>
      <c r="E78" s="44"/>
      <c r="F78" s="31"/>
      <c r="G78" s="45"/>
      <c r="H78" s="45"/>
      <c r="I78" s="45"/>
    </row>
    <row r="79" spans="1:13" x14ac:dyDescent="0.2">
      <c r="A79" s="31"/>
      <c r="B79" s="38"/>
      <c r="C79" s="38"/>
      <c r="D79" s="44"/>
      <c r="E79" s="44"/>
      <c r="F79" s="33"/>
      <c r="G79" s="46">
        <v>2020</v>
      </c>
      <c r="H79" s="22">
        <v>2020</v>
      </c>
      <c r="I79" s="47">
        <v>2020</v>
      </c>
      <c r="J79" s="6"/>
      <c r="K79" s="7"/>
      <c r="L79" s="6"/>
    </row>
    <row r="80" spans="1:13" ht="25.5" x14ac:dyDescent="0.2">
      <c r="A80" s="48" t="s">
        <v>64</v>
      </c>
      <c r="B80" s="48">
        <v>1990</v>
      </c>
      <c r="C80" s="48">
        <v>2000</v>
      </c>
      <c r="D80" s="29" t="s">
        <v>117</v>
      </c>
      <c r="E80" s="48">
        <v>2010</v>
      </c>
      <c r="F80" s="49" t="s">
        <v>44</v>
      </c>
      <c r="G80" s="50" t="s">
        <v>35</v>
      </c>
      <c r="H80" s="51" t="s">
        <v>36</v>
      </c>
      <c r="I80" s="50" t="s">
        <v>37</v>
      </c>
      <c r="J80" s="6"/>
      <c r="K80" s="7"/>
      <c r="L80" s="6"/>
      <c r="M80" s="4"/>
    </row>
    <row r="81" spans="1:13" ht="15" x14ac:dyDescent="0.25">
      <c r="A81" s="31" t="s">
        <v>13</v>
      </c>
      <c r="B81" s="32">
        <f>B56+B62</f>
        <v>18624</v>
      </c>
      <c r="C81" s="32">
        <f>C56+C62</f>
        <v>20295</v>
      </c>
      <c r="D81" s="32">
        <f>C81-B81</f>
        <v>1671</v>
      </c>
      <c r="E81" s="32">
        <f>E56+E62</f>
        <v>21558</v>
      </c>
      <c r="F81" s="52" t="s">
        <v>41</v>
      </c>
      <c r="G81" s="53">
        <f t="shared" ref="G81:I82" si="3">G56+G62+G75</f>
        <v>23724.353766662356</v>
      </c>
      <c r="H81" s="53">
        <f t="shared" si="3"/>
        <v>23248.559658964772</v>
      </c>
      <c r="I81" s="53">
        <f t="shared" si="3"/>
        <v>22772.765551267192</v>
      </c>
      <c r="J81" s="5"/>
      <c r="K81" s="5"/>
      <c r="L81" s="5"/>
      <c r="M81" s="4"/>
    </row>
    <row r="82" spans="1:13" ht="15" x14ac:dyDescent="0.25">
      <c r="A82" s="31" t="s">
        <v>14</v>
      </c>
      <c r="B82" s="32">
        <f>B57+B63</f>
        <v>8137</v>
      </c>
      <c r="C82" s="32">
        <f>C57+C63</f>
        <v>8552</v>
      </c>
      <c r="D82" s="32">
        <f>C82-B82</f>
        <v>415</v>
      </c>
      <c r="E82" s="32">
        <f>E57+E63</f>
        <v>9759</v>
      </c>
      <c r="F82" s="52" t="s">
        <v>43</v>
      </c>
      <c r="G82" s="53">
        <f t="shared" si="3"/>
        <v>10506.995806470299</v>
      </c>
      <c r="H82" s="53">
        <f t="shared" si="3"/>
        <v>10259.894207529673</v>
      </c>
      <c r="I82" s="53">
        <f t="shared" si="3"/>
        <v>10012.792608589043</v>
      </c>
      <c r="J82" s="5"/>
      <c r="K82" s="5"/>
      <c r="L82" s="5"/>
      <c r="M82" s="4"/>
    </row>
    <row r="83" spans="1:13" ht="15" x14ac:dyDescent="0.25">
      <c r="A83" s="31" t="s">
        <v>12</v>
      </c>
      <c r="B83" s="32">
        <f>B81+B82</f>
        <v>26761</v>
      </c>
      <c r="C83" s="32">
        <f>C81+C82</f>
        <v>28847</v>
      </c>
      <c r="D83" s="32">
        <f>C83-B83</f>
        <v>2086</v>
      </c>
      <c r="E83" s="32">
        <f>E81+E82</f>
        <v>31317</v>
      </c>
      <c r="F83" s="52" t="s">
        <v>42</v>
      </c>
      <c r="G83" s="53">
        <f>G81+G82</f>
        <v>34231.349573132655</v>
      </c>
      <c r="H83" s="53">
        <f>H81+H82</f>
        <v>33508.453866494441</v>
      </c>
      <c r="I83" s="53">
        <f>I81+I82</f>
        <v>32785.558159856235</v>
      </c>
      <c r="J83" s="5"/>
      <c r="K83" s="5"/>
      <c r="L83" s="5"/>
      <c r="M83" s="4"/>
    </row>
    <row r="84" spans="1:13" x14ac:dyDescent="0.2">
      <c r="A84" s="31"/>
      <c r="B84" s="32"/>
      <c r="C84" s="32"/>
      <c r="D84" s="32"/>
      <c r="E84" s="32"/>
      <c r="F84" s="54" t="s">
        <v>205</v>
      </c>
      <c r="G84" s="75"/>
      <c r="H84" s="76"/>
      <c r="I84" s="77"/>
      <c r="J84" s="4"/>
      <c r="K84" s="4"/>
      <c r="L84" s="4"/>
      <c r="M84" s="4"/>
    </row>
    <row r="85" spans="1:13" x14ac:dyDescent="0.2">
      <c r="A85" s="31"/>
      <c r="B85" s="32"/>
      <c r="C85" s="39"/>
      <c r="D85" s="31"/>
      <c r="E85" s="31"/>
      <c r="F85" s="49" t="s">
        <v>44</v>
      </c>
      <c r="G85" s="78" t="s">
        <v>35</v>
      </c>
      <c r="H85" s="79" t="s">
        <v>36</v>
      </c>
      <c r="I85" s="78" t="s">
        <v>37</v>
      </c>
      <c r="J85" s="4"/>
      <c r="K85" s="4"/>
      <c r="L85" s="4"/>
      <c r="M85" s="4"/>
    </row>
    <row r="86" spans="1:13" x14ac:dyDescent="0.2">
      <c r="A86" s="31"/>
      <c r="B86" s="31"/>
      <c r="C86" s="31"/>
      <c r="D86" s="31"/>
      <c r="E86" s="31"/>
      <c r="F86" s="52" t="s">
        <v>41</v>
      </c>
      <c r="G86" s="53">
        <f>G81-E81</f>
        <v>2166.3537666623561</v>
      </c>
      <c r="H86" s="53">
        <f>H81-E81</f>
        <v>1690.5596589647721</v>
      </c>
      <c r="I86" s="53">
        <f>I81-E81</f>
        <v>1214.7655512671918</v>
      </c>
      <c r="J86" s="4"/>
      <c r="K86" s="4"/>
      <c r="L86" s="4"/>
      <c r="M86" s="4"/>
    </row>
    <row r="87" spans="1:13" x14ac:dyDescent="0.2">
      <c r="A87" s="31"/>
      <c r="B87" s="31"/>
      <c r="C87" s="31"/>
      <c r="D87" s="31"/>
      <c r="E87" s="31"/>
      <c r="F87" s="52" t="s">
        <v>43</v>
      </c>
      <c r="G87" s="53">
        <f>G82-E82</f>
        <v>747.9958064702987</v>
      </c>
      <c r="H87" s="53">
        <f>H82-E82</f>
        <v>500.89420752967271</v>
      </c>
      <c r="I87" s="53">
        <f>I82-E82</f>
        <v>253.79260858904308</v>
      </c>
      <c r="J87" s="4"/>
      <c r="K87" s="4"/>
      <c r="L87" s="4"/>
      <c r="M87" s="4"/>
    </row>
    <row r="88" spans="1:13" x14ac:dyDescent="0.2">
      <c r="A88" s="31"/>
      <c r="B88" s="31"/>
      <c r="C88" s="31"/>
      <c r="D88" s="31"/>
      <c r="E88" s="31"/>
      <c r="F88" s="52" t="s">
        <v>42</v>
      </c>
      <c r="G88" s="53">
        <f>G83-E83</f>
        <v>2914.3495731326548</v>
      </c>
      <c r="H88" s="53">
        <f>H83-E83</f>
        <v>2191.4538664944412</v>
      </c>
      <c r="I88" s="53">
        <f>I83-E83</f>
        <v>1468.5581598562349</v>
      </c>
      <c r="J88" s="4"/>
      <c r="K88" s="4"/>
      <c r="L88" s="4"/>
      <c r="M88" s="4"/>
    </row>
    <row r="89" spans="1:13" x14ac:dyDescent="0.2">
      <c r="A89" s="31"/>
      <c r="B89" s="38"/>
      <c r="C89" s="38"/>
      <c r="D89" s="31"/>
      <c r="E89" s="31"/>
      <c r="F89" s="35" t="s">
        <v>91</v>
      </c>
      <c r="G89" s="36"/>
      <c r="H89" s="36"/>
      <c r="I89" s="55"/>
      <c r="J89" s="4"/>
      <c r="K89" s="4"/>
      <c r="L89" s="4"/>
      <c r="M89" s="4"/>
    </row>
    <row r="90" spans="1:13" x14ac:dyDescent="0.2">
      <c r="A90" s="31"/>
      <c r="B90" s="38"/>
      <c r="C90" s="38"/>
      <c r="D90" s="31"/>
      <c r="E90" s="31"/>
      <c r="F90" s="52" t="s">
        <v>41</v>
      </c>
      <c r="G90" s="53">
        <f t="shared" ref="G90:I91" si="4">(1-$G$16)*G86</f>
        <v>1653.3840128751335</v>
      </c>
      <c r="H90" s="53">
        <f t="shared" si="4"/>
        <v>1290.2529383510603</v>
      </c>
      <c r="I90" s="53">
        <f t="shared" si="4"/>
        <v>927.12186382698985</v>
      </c>
      <c r="J90" s="4"/>
      <c r="K90" s="4"/>
      <c r="L90" s="4"/>
      <c r="M90" s="4"/>
    </row>
    <row r="91" spans="1:13" x14ac:dyDescent="0.2">
      <c r="A91" s="31"/>
      <c r="B91" s="38"/>
      <c r="C91" s="38"/>
      <c r="D91" s="31"/>
      <c r="E91" s="31"/>
      <c r="F91" s="52" t="s">
        <v>43</v>
      </c>
      <c r="G91" s="53">
        <f t="shared" si="4"/>
        <v>570.87827812214744</v>
      </c>
      <c r="H91" s="53">
        <f t="shared" si="4"/>
        <v>382.28773509474428</v>
      </c>
      <c r="I91" s="53">
        <f t="shared" si="4"/>
        <v>193.69719206733831</v>
      </c>
      <c r="J91" s="4"/>
      <c r="K91" s="4"/>
      <c r="L91" s="4"/>
      <c r="M91" s="4"/>
    </row>
    <row r="92" spans="1:13" x14ac:dyDescent="0.2">
      <c r="A92" s="31"/>
      <c r="B92" s="38"/>
      <c r="C92" s="38"/>
      <c r="D92" s="31"/>
      <c r="E92" s="31"/>
      <c r="F92" s="52" t="s">
        <v>42</v>
      </c>
      <c r="G92" s="53">
        <f>G90+G91</f>
        <v>2224.2622909972811</v>
      </c>
      <c r="H92" s="53">
        <f>H90+H91</f>
        <v>1672.5406734458045</v>
      </c>
      <c r="I92" s="53">
        <f>I90+I91</f>
        <v>1120.8190558943281</v>
      </c>
      <c r="J92" s="4"/>
      <c r="K92" s="4"/>
      <c r="L92" s="4"/>
      <c r="M92" s="4"/>
    </row>
    <row r="93" spans="1:13" ht="14.25" x14ac:dyDescent="0.2">
      <c r="A93" s="30"/>
      <c r="B93" s="67"/>
      <c r="C93" s="67"/>
      <c r="D93" s="30"/>
      <c r="E93" s="30"/>
      <c r="F93" s="69"/>
      <c r="G93" s="72"/>
      <c r="H93" s="72"/>
      <c r="I93" s="74"/>
      <c r="J93" s="4"/>
      <c r="K93" s="4"/>
      <c r="L93" s="4"/>
      <c r="M93" s="4"/>
    </row>
    <row r="94" spans="1:13" ht="14.25" x14ac:dyDescent="0.2">
      <c r="A94" s="30"/>
      <c r="B94" s="67"/>
      <c r="C94" s="67"/>
      <c r="D94" s="30"/>
      <c r="E94" s="30"/>
      <c r="F94" s="69"/>
      <c r="G94" s="72"/>
      <c r="H94" s="72"/>
      <c r="I94" s="74"/>
      <c r="J94" s="4"/>
      <c r="K94" s="4"/>
      <c r="L94" s="4"/>
      <c r="M94" s="4"/>
    </row>
    <row r="95" spans="1:13" ht="25.5" x14ac:dyDescent="0.2">
      <c r="A95" s="184" t="s">
        <v>155</v>
      </c>
      <c r="B95" s="181">
        <v>1990</v>
      </c>
      <c r="C95" s="182">
        <v>2000</v>
      </c>
      <c r="D95" s="183" t="s">
        <v>117</v>
      </c>
      <c r="E95" s="48">
        <v>2010</v>
      </c>
      <c r="F95" s="34"/>
      <c r="G95" s="175"/>
      <c r="H95" s="176" t="s">
        <v>185</v>
      </c>
      <c r="I95" s="177"/>
      <c r="K95" s="178"/>
      <c r="L95" s="179" t="s">
        <v>186</v>
      </c>
      <c r="M95" s="180"/>
    </row>
    <row r="96" spans="1:13" x14ac:dyDescent="0.2">
      <c r="A96" s="21" t="s">
        <v>150</v>
      </c>
      <c r="B96" s="32">
        <f t="shared" ref="B96:C98" si="5">B29</f>
        <v>20017</v>
      </c>
      <c r="C96" s="32">
        <f t="shared" si="5"/>
        <v>21999</v>
      </c>
      <c r="D96" s="32">
        <f>C96-B96</f>
        <v>1982</v>
      </c>
      <c r="E96" s="32">
        <f t="shared" ref="E96:I98" si="6">E29</f>
        <v>22939</v>
      </c>
      <c r="F96" s="34"/>
      <c r="G96" s="32">
        <f t="shared" si="6"/>
        <v>23321.507403207215</v>
      </c>
      <c r="H96" s="32">
        <f t="shared" si="6"/>
        <v>22613.253701603608</v>
      </c>
      <c r="I96" s="32">
        <f t="shared" si="6"/>
        <v>21905</v>
      </c>
      <c r="K96" s="3">
        <f>G96-E96</f>
        <v>382.50740320721525</v>
      </c>
      <c r="L96" s="3">
        <f>H96-E96</f>
        <v>-325.74629839639238</v>
      </c>
      <c r="M96" s="3">
        <f>I96-E96</f>
        <v>-1034</v>
      </c>
    </row>
    <row r="97" spans="1:13" x14ac:dyDescent="0.2">
      <c r="A97" s="31" t="s">
        <v>151</v>
      </c>
      <c r="B97" s="32">
        <f t="shared" si="5"/>
        <v>13872</v>
      </c>
      <c r="C97" s="32">
        <f t="shared" si="5"/>
        <v>15130</v>
      </c>
      <c r="D97" s="32">
        <f>C97-B97</f>
        <v>1258</v>
      </c>
      <c r="E97" s="32">
        <f t="shared" si="6"/>
        <v>15521</v>
      </c>
      <c r="F97" s="34"/>
      <c r="G97" s="32">
        <f t="shared" si="6"/>
        <v>15510.365031835707</v>
      </c>
      <c r="H97" s="32">
        <f t="shared" si="6"/>
        <v>15039.3288652151</v>
      </c>
      <c r="I97" s="32">
        <f t="shared" si="6"/>
        <v>14568.292698594496</v>
      </c>
      <c r="K97" s="3">
        <f t="shared" ref="K97:K106" si="7">G97-E97</f>
        <v>-10.634968164293241</v>
      </c>
      <c r="L97" s="3">
        <f t="shared" ref="L97:L106" si="8">H97-E97</f>
        <v>-481.67113478489955</v>
      </c>
      <c r="M97" s="3">
        <f t="shared" ref="M97:M106" si="9">I97-E97</f>
        <v>-952.70730140550404</v>
      </c>
    </row>
    <row r="98" spans="1:13" x14ac:dyDescent="0.2">
      <c r="A98" s="31" t="s">
        <v>152</v>
      </c>
      <c r="B98" s="32">
        <f t="shared" si="5"/>
        <v>6145</v>
      </c>
      <c r="C98" s="32">
        <f t="shared" si="5"/>
        <v>6869</v>
      </c>
      <c r="D98" s="32">
        <f>C98-B98</f>
        <v>724</v>
      </c>
      <c r="E98" s="32">
        <f t="shared" si="6"/>
        <v>7418</v>
      </c>
      <c r="F98" s="34"/>
      <c r="G98" s="32">
        <f t="shared" si="6"/>
        <v>7811.1423713715085</v>
      </c>
      <c r="H98" s="32">
        <f t="shared" si="6"/>
        <v>7573.9248363885072</v>
      </c>
      <c r="I98" s="32">
        <f t="shared" si="6"/>
        <v>7336.404529736531</v>
      </c>
      <c r="K98" s="3">
        <f t="shared" si="7"/>
        <v>393.14237137150849</v>
      </c>
      <c r="L98" s="3">
        <f t="shared" si="8"/>
        <v>155.92483638850717</v>
      </c>
      <c r="M98" s="3">
        <f t="shared" si="9"/>
        <v>-81.595470263468997</v>
      </c>
    </row>
    <row r="99" spans="1:13" x14ac:dyDescent="0.2">
      <c r="A99" s="31"/>
      <c r="B99" s="31"/>
      <c r="C99" s="31"/>
      <c r="D99" s="31"/>
      <c r="E99" s="31"/>
      <c r="F99" s="34"/>
      <c r="G99" s="31"/>
      <c r="H99" s="31"/>
      <c r="I99" s="31"/>
      <c r="K99" s="3"/>
      <c r="L99" s="3"/>
      <c r="M99" s="3"/>
    </row>
    <row r="100" spans="1:13" x14ac:dyDescent="0.2">
      <c r="A100" s="21" t="s">
        <v>153</v>
      </c>
      <c r="B100" s="32">
        <f>B41</f>
        <v>5839</v>
      </c>
      <c r="C100" s="32">
        <f>C41</f>
        <v>6300</v>
      </c>
      <c r="D100" s="32">
        <f t="shared" ref="D100:D106" si="10">C100-B100</f>
        <v>461</v>
      </c>
      <c r="E100" s="32">
        <f>E41</f>
        <v>7265</v>
      </c>
      <c r="F100" s="34"/>
      <c r="G100" s="32">
        <f>G41</f>
        <v>10092</v>
      </c>
      <c r="H100" s="32">
        <f>H41</f>
        <v>10092</v>
      </c>
      <c r="I100" s="32">
        <f>I41</f>
        <v>10092</v>
      </c>
      <c r="K100" s="3">
        <f t="shared" si="7"/>
        <v>2827</v>
      </c>
      <c r="L100" s="3">
        <f t="shared" si="8"/>
        <v>2827</v>
      </c>
      <c r="M100" s="3">
        <f t="shared" si="9"/>
        <v>2827</v>
      </c>
    </row>
    <row r="101" spans="1:13" x14ac:dyDescent="0.2">
      <c r="A101" s="31" t="s">
        <v>151</v>
      </c>
      <c r="B101" s="32">
        <f>B45</f>
        <v>4343</v>
      </c>
      <c r="C101" s="32">
        <f>C45</f>
        <v>4919</v>
      </c>
      <c r="D101" s="32">
        <f t="shared" si="10"/>
        <v>576</v>
      </c>
      <c r="E101" s="32">
        <f t="shared" ref="E101:I102" si="11">E45</f>
        <v>5627</v>
      </c>
      <c r="F101" s="34"/>
      <c r="G101" s="32">
        <f t="shared" si="11"/>
        <v>7891.3755171600224</v>
      </c>
      <c r="H101" s="32">
        <f t="shared" si="11"/>
        <v>7891.3755171600224</v>
      </c>
      <c r="I101" s="32">
        <f t="shared" si="11"/>
        <v>7891.3755171600224</v>
      </c>
      <c r="K101" s="3">
        <f t="shared" si="7"/>
        <v>2264.3755171600224</v>
      </c>
      <c r="L101" s="3">
        <f t="shared" si="8"/>
        <v>2264.3755171600224</v>
      </c>
      <c r="M101" s="3">
        <f t="shared" si="9"/>
        <v>2264.3755171600224</v>
      </c>
    </row>
    <row r="102" spans="1:13" x14ac:dyDescent="0.2">
      <c r="A102" s="31" t="s">
        <v>152</v>
      </c>
      <c r="B102" s="32">
        <f>B46</f>
        <v>1496</v>
      </c>
      <c r="C102" s="32">
        <f>C46</f>
        <v>1381</v>
      </c>
      <c r="D102" s="32">
        <f t="shared" si="10"/>
        <v>-115</v>
      </c>
      <c r="E102" s="32">
        <f t="shared" si="11"/>
        <v>1638</v>
      </c>
      <c r="F102" s="34"/>
      <c r="G102" s="32">
        <f t="shared" si="11"/>
        <v>2200.6244828399776</v>
      </c>
      <c r="H102" s="32">
        <f t="shared" si="11"/>
        <v>2200.6244828399776</v>
      </c>
      <c r="I102" s="32">
        <f t="shared" si="11"/>
        <v>2200.1651842056353</v>
      </c>
      <c r="K102" s="3">
        <f t="shared" si="7"/>
        <v>562.62448283997765</v>
      </c>
      <c r="L102" s="3">
        <f t="shared" si="8"/>
        <v>562.62448283997765</v>
      </c>
      <c r="M102" s="3">
        <f t="shared" si="9"/>
        <v>562.16518420563534</v>
      </c>
    </row>
    <row r="103" spans="1:13" x14ac:dyDescent="0.2">
      <c r="A103" s="31"/>
      <c r="B103" s="38"/>
      <c r="C103" s="38"/>
      <c r="D103" s="31"/>
      <c r="E103" s="31"/>
      <c r="F103" s="34"/>
      <c r="G103" s="31"/>
      <c r="H103" s="31"/>
      <c r="I103" s="31"/>
      <c r="K103" s="3"/>
      <c r="L103" s="3"/>
      <c r="M103" s="3"/>
    </row>
    <row r="104" spans="1:13" x14ac:dyDescent="0.2">
      <c r="A104" s="21" t="s">
        <v>154</v>
      </c>
      <c r="B104" s="32">
        <f t="shared" ref="B104:C106" si="12">B55</f>
        <v>25856</v>
      </c>
      <c r="C104" s="32">
        <f t="shared" si="12"/>
        <v>28299</v>
      </c>
      <c r="D104" s="32">
        <f t="shared" si="10"/>
        <v>2443</v>
      </c>
      <c r="E104" s="32">
        <f>E55</f>
        <v>30204</v>
      </c>
      <c r="F104" s="34"/>
      <c r="G104" s="32">
        <f>G55</f>
        <v>33413.507403207215</v>
      </c>
      <c r="H104" s="32">
        <f>H55</f>
        <v>32705.253701603608</v>
      </c>
      <c r="I104" s="32">
        <f>I55</f>
        <v>31997</v>
      </c>
      <c r="K104" s="3">
        <f t="shared" si="7"/>
        <v>3209.5074032072152</v>
      </c>
      <c r="L104" s="3">
        <f t="shared" si="8"/>
        <v>2501.2537016036076</v>
      </c>
      <c r="M104" s="3">
        <f t="shared" si="9"/>
        <v>1793</v>
      </c>
    </row>
    <row r="105" spans="1:13" x14ac:dyDescent="0.2">
      <c r="A105" s="31" t="s">
        <v>151</v>
      </c>
      <c r="B105" s="32">
        <f t="shared" si="12"/>
        <v>18215</v>
      </c>
      <c r="C105" s="32">
        <f t="shared" si="12"/>
        <v>20049</v>
      </c>
      <c r="D105" s="32">
        <f t="shared" si="10"/>
        <v>1834</v>
      </c>
      <c r="E105" s="32">
        <f t="shared" ref="E105:I106" si="13">E56</f>
        <v>21148</v>
      </c>
      <c r="F105" s="34"/>
      <c r="G105" s="32">
        <f t="shared" si="13"/>
        <v>23401.740548995731</v>
      </c>
      <c r="H105" s="32">
        <f t="shared" si="13"/>
        <v>22930.704382375123</v>
      </c>
      <c r="I105" s="32">
        <f t="shared" si="13"/>
        <v>22459.668215754518</v>
      </c>
      <c r="K105" s="3">
        <f t="shared" si="7"/>
        <v>2253.7405489957309</v>
      </c>
      <c r="L105" s="3">
        <f t="shared" si="8"/>
        <v>1782.7043823751228</v>
      </c>
      <c r="M105" s="3">
        <f t="shared" si="9"/>
        <v>1311.6682157545183</v>
      </c>
    </row>
    <row r="106" spans="1:13" x14ac:dyDescent="0.2">
      <c r="A106" s="31" t="s">
        <v>152</v>
      </c>
      <c r="B106" s="32">
        <f t="shared" si="12"/>
        <v>7641</v>
      </c>
      <c r="C106" s="32">
        <f t="shared" si="12"/>
        <v>8250</v>
      </c>
      <c r="D106" s="32">
        <f t="shared" si="10"/>
        <v>609</v>
      </c>
      <c r="E106" s="32">
        <f t="shared" si="13"/>
        <v>9056</v>
      </c>
      <c r="F106" s="34"/>
      <c r="G106" s="32">
        <f t="shared" si="13"/>
        <v>10011.766854211486</v>
      </c>
      <c r="H106" s="32">
        <f t="shared" si="13"/>
        <v>9774.5493192284848</v>
      </c>
      <c r="I106" s="32">
        <f t="shared" si="13"/>
        <v>9537.3317842454817</v>
      </c>
      <c r="K106" s="3">
        <f t="shared" si="7"/>
        <v>955.76685421148613</v>
      </c>
      <c r="L106" s="3">
        <f t="shared" si="8"/>
        <v>718.54931922848482</v>
      </c>
      <c r="M106" s="3">
        <f t="shared" si="9"/>
        <v>481.33178424548169</v>
      </c>
    </row>
    <row r="107" spans="1:13" ht="14.25" x14ac:dyDescent="0.2">
      <c r="A107" s="30"/>
      <c r="B107" s="67"/>
      <c r="C107" s="67"/>
      <c r="D107" s="30"/>
      <c r="E107" s="30"/>
      <c r="F107" s="69"/>
      <c r="G107" s="72"/>
      <c r="H107" s="72"/>
      <c r="I107" s="74"/>
      <c r="J107" s="4"/>
      <c r="K107" s="4"/>
      <c r="L107" s="4"/>
      <c r="M107" s="4"/>
    </row>
    <row r="108" spans="1:13" ht="14.25" x14ac:dyDescent="0.2">
      <c r="A108" s="30"/>
      <c r="B108" s="67"/>
      <c r="C108" s="67"/>
      <c r="D108" s="30"/>
      <c r="E108" s="30"/>
      <c r="F108" s="69"/>
      <c r="G108" s="72"/>
      <c r="H108" s="72"/>
      <c r="I108" s="74"/>
      <c r="J108" s="4"/>
      <c r="K108" s="4"/>
      <c r="L108" s="4"/>
      <c r="M108" s="4"/>
    </row>
    <row r="109" spans="1:13" x14ac:dyDescent="0.2">
      <c r="A109" s="222" t="s">
        <v>206</v>
      </c>
      <c r="B109" s="38"/>
      <c r="C109" s="38"/>
      <c r="D109" s="31"/>
      <c r="E109" s="57" t="s">
        <v>187</v>
      </c>
      <c r="F109" s="34"/>
      <c r="G109" s="45"/>
      <c r="H109" s="58"/>
      <c r="I109" s="56"/>
      <c r="J109" s="4"/>
      <c r="K109" s="4"/>
      <c r="L109" s="4"/>
      <c r="M109" s="4"/>
    </row>
    <row r="110" spans="1:13" x14ac:dyDescent="0.2">
      <c r="A110" s="222" t="s">
        <v>207</v>
      </c>
      <c r="B110" s="38"/>
      <c r="C110" s="38"/>
      <c r="D110" s="31"/>
      <c r="E110" s="219" t="s">
        <v>209</v>
      </c>
      <c r="F110" s="34"/>
      <c r="G110" s="31"/>
      <c r="H110" s="59"/>
      <c r="I110" s="31"/>
      <c r="J110" s="4"/>
      <c r="K110" s="4"/>
      <c r="L110" s="4"/>
      <c r="M110" s="4"/>
    </row>
    <row r="111" spans="1:13" x14ac:dyDescent="0.2">
      <c r="A111" s="21"/>
      <c r="B111" s="38"/>
      <c r="C111" s="38"/>
      <c r="D111" s="31"/>
      <c r="E111" s="31"/>
      <c r="F111" s="34"/>
      <c r="G111" s="60" t="s">
        <v>77</v>
      </c>
      <c r="H111" s="60" t="s">
        <v>78</v>
      </c>
      <c r="I111" s="61" t="s">
        <v>79</v>
      </c>
      <c r="J111" s="4"/>
      <c r="K111" s="4"/>
      <c r="L111" s="4"/>
      <c r="M111" s="4"/>
    </row>
    <row r="112" spans="1:13" x14ac:dyDescent="0.2">
      <c r="A112" s="21" t="s">
        <v>49</v>
      </c>
      <c r="B112" s="38"/>
      <c r="C112" s="62" t="s">
        <v>208</v>
      </c>
      <c r="D112" s="31"/>
      <c r="E112" s="21" t="s">
        <v>49</v>
      </c>
      <c r="F112" s="34"/>
      <c r="G112" s="45"/>
      <c r="H112" s="31"/>
      <c r="I112" s="56"/>
      <c r="J112" s="4"/>
      <c r="K112" s="4"/>
      <c r="L112" s="4"/>
      <c r="M112" s="4"/>
    </row>
    <row r="113" spans="1:13" x14ac:dyDescent="0.2">
      <c r="A113" s="31" t="s">
        <v>50</v>
      </c>
      <c r="B113" s="38"/>
      <c r="C113" s="217">
        <v>1420.0849769953988</v>
      </c>
      <c r="D113" s="31"/>
      <c r="E113" s="31" t="s">
        <v>50</v>
      </c>
      <c r="F113" s="34"/>
      <c r="G113" s="45">
        <f>G56*C141</f>
        <v>1571.2747134360707</v>
      </c>
      <c r="H113" s="45">
        <f>H56*C141</f>
        <v>1539.6476976517006</v>
      </c>
      <c r="I113" s="45">
        <f>I56*C141</f>
        <v>1508.0206818673307</v>
      </c>
      <c r="J113" s="4"/>
      <c r="K113" s="4"/>
      <c r="L113" s="4"/>
      <c r="M113" s="4"/>
    </row>
    <row r="114" spans="1:13" x14ac:dyDescent="0.2">
      <c r="A114" s="31" t="s">
        <v>51</v>
      </c>
      <c r="B114" s="38"/>
      <c r="C114" s="217">
        <v>3209.9260926092611</v>
      </c>
      <c r="D114" s="31"/>
      <c r="E114" s="31" t="s">
        <v>51</v>
      </c>
      <c r="F114" s="34"/>
      <c r="G114" s="45">
        <f>G56*C142</f>
        <v>3551.6717541699086</v>
      </c>
      <c r="H114" s="45">
        <f>H56*C142</f>
        <v>3480.1828046759069</v>
      </c>
      <c r="I114" s="45">
        <f>I56*C142</f>
        <v>3408.6938551819062</v>
      </c>
      <c r="J114" s="4"/>
      <c r="K114" s="4"/>
      <c r="L114" s="4"/>
      <c r="M114" s="4"/>
    </row>
    <row r="115" spans="1:13" x14ac:dyDescent="0.2">
      <c r="A115" s="31" t="s">
        <v>52</v>
      </c>
      <c r="B115" s="38"/>
      <c r="C115" s="217">
        <v>4153.4009200920091</v>
      </c>
      <c r="D115" s="31"/>
      <c r="E115" s="31" t="s">
        <v>52</v>
      </c>
      <c r="F115" s="34"/>
      <c r="G115" s="45">
        <f>G56*C143</f>
        <v>4595.593887846494</v>
      </c>
      <c r="H115" s="45">
        <f>H56*C143</f>
        <v>4503.0926089888753</v>
      </c>
      <c r="I115" s="45">
        <f>I56*C143</f>
        <v>4410.5913301312567</v>
      </c>
      <c r="J115" s="4"/>
      <c r="K115" s="4"/>
      <c r="L115" s="4"/>
      <c r="M115" s="4"/>
    </row>
    <row r="116" spans="1:13" x14ac:dyDescent="0.2">
      <c r="A116" s="31" t="s">
        <v>53</v>
      </c>
      <c r="B116" s="38"/>
      <c r="C116" s="217">
        <v>6184.8142276151757</v>
      </c>
      <c r="D116" s="31"/>
      <c r="E116" s="31" t="s">
        <v>53</v>
      </c>
      <c r="F116" s="34"/>
      <c r="G116" s="45">
        <f>G56*C144</f>
        <v>6843.2821701365374</v>
      </c>
      <c r="H116" s="45">
        <f>H56*C144</f>
        <v>6705.538851695097</v>
      </c>
      <c r="I116" s="45">
        <f>I56*C144</f>
        <v>6567.7955332536585</v>
      </c>
      <c r="J116" s="4"/>
      <c r="K116" s="4"/>
      <c r="L116" s="4"/>
      <c r="M116" s="4"/>
    </row>
    <row r="117" spans="1:13" x14ac:dyDescent="0.2">
      <c r="A117" s="31" t="s">
        <v>54</v>
      </c>
      <c r="B117" s="38"/>
      <c r="C117" s="217">
        <v>8236.477379095164</v>
      </c>
      <c r="D117" s="31"/>
      <c r="E117" s="31" t="s">
        <v>54</v>
      </c>
      <c r="F117" s="34"/>
      <c r="G117" s="45">
        <f>G56*C145</f>
        <v>9113.3762015724533</v>
      </c>
      <c r="H117" s="45">
        <f>H56*C145</f>
        <v>8929.9398549480393</v>
      </c>
      <c r="I117" s="45">
        <f>I56*C145</f>
        <v>8746.5035083236271</v>
      </c>
      <c r="J117" s="4"/>
      <c r="K117" s="4"/>
      <c r="L117" s="4"/>
      <c r="M117" s="4"/>
    </row>
    <row r="118" spans="1:13" x14ac:dyDescent="0.2">
      <c r="A118" s="31" t="s">
        <v>55</v>
      </c>
      <c r="B118" s="38"/>
      <c r="C118" s="217">
        <v>10141.845241809671</v>
      </c>
      <c r="D118" s="31"/>
      <c r="E118" s="31" t="s">
        <v>55</v>
      </c>
      <c r="F118" s="34"/>
      <c r="G118" s="45">
        <f>G56*C146</f>
        <v>11221.599576212615</v>
      </c>
      <c r="H118" s="45">
        <f>H56*C146</f>
        <v>10995.728375022947</v>
      </c>
      <c r="I118" s="45">
        <f>I56*C146</f>
        <v>10769.857173833279</v>
      </c>
      <c r="J118" s="4"/>
      <c r="K118" s="4"/>
      <c r="L118" s="4"/>
      <c r="M118" s="4"/>
    </row>
    <row r="119" spans="1:13" x14ac:dyDescent="0.2">
      <c r="A119" s="31" t="s">
        <v>56</v>
      </c>
      <c r="B119" s="38"/>
      <c r="C119" s="217">
        <v>21150</v>
      </c>
      <c r="D119" s="31"/>
      <c r="E119" s="31" t="s">
        <v>56</v>
      </c>
      <c r="F119" s="34"/>
      <c r="G119" s="45">
        <f>G56*C147</f>
        <v>23401.740548995731</v>
      </c>
      <c r="H119" s="45">
        <f>H56*C147</f>
        <v>22930.704382375123</v>
      </c>
      <c r="I119" s="45">
        <f>I56*C147</f>
        <v>22459.668215754518</v>
      </c>
      <c r="J119" s="4"/>
      <c r="K119" s="4"/>
      <c r="L119" s="4"/>
      <c r="M119" s="4"/>
    </row>
    <row r="120" spans="1:13" x14ac:dyDescent="0.2">
      <c r="A120" s="31"/>
      <c r="B120" s="38"/>
      <c r="C120" s="32"/>
      <c r="D120" s="31"/>
      <c r="E120" s="31"/>
      <c r="F120" s="34"/>
      <c r="G120" s="45"/>
      <c r="H120" s="45"/>
      <c r="I120" s="45"/>
      <c r="J120" s="4"/>
      <c r="K120" s="4"/>
      <c r="L120" s="4"/>
      <c r="M120" s="4"/>
    </row>
    <row r="121" spans="1:13" x14ac:dyDescent="0.2">
      <c r="A121" s="21" t="s">
        <v>0</v>
      </c>
      <c r="B121" s="38"/>
      <c r="C121" s="32"/>
      <c r="D121" s="31"/>
      <c r="E121" s="21" t="s">
        <v>0</v>
      </c>
      <c r="F121" s="34"/>
      <c r="G121" s="45"/>
      <c r="H121" s="45"/>
      <c r="I121" s="45"/>
      <c r="J121" s="4"/>
      <c r="K121" s="4"/>
      <c r="L121" s="4"/>
      <c r="M121" s="4"/>
    </row>
    <row r="122" spans="1:13" x14ac:dyDescent="0.2">
      <c r="A122" s="31" t="s">
        <v>50</v>
      </c>
      <c r="B122" s="38"/>
      <c r="C122" s="217">
        <v>1772.2732146429285</v>
      </c>
      <c r="D122" s="31"/>
      <c r="E122" s="31" t="s">
        <v>50</v>
      </c>
      <c r="F122" s="34"/>
      <c r="G122" s="45">
        <f>G57*C150</f>
        <v>2014.9427920700555</v>
      </c>
      <c r="H122" s="45">
        <f>H57*C150</f>
        <v>1967.2009929224296</v>
      </c>
      <c r="I122" s="45">
        <f>I57*C150</f>
        <v>1919.459193774803</v>
      </c>
      <c r="J122" s="4"/>
      <c r="K122" s="4"/>
      <c r="L122" s="4"/>
      <c r="M122" s="4"/>
    </row>
    <row r="123" spans="1:13" x14ac:dyDescent="0.2">
      <c r="A123" s="31" t="s">
        <v>51</v>
      </c>
      <c r="B123" s="38"/>
      <c r="C123" s="217">
        <v>3758.886688668867</v>
      </c>
      <c r="D123" s="31"/>
      <c r="E123" s="31" t="s">
        <v>51</v>
      </c>
      <c r="F123" s="34"/>
      <c r="G123" s="45">
        <f>G57*C151</f>
        <v>4273.5745126449847</v>
      </c>
      <c r="H123" s="45">
        <f>H57*C151</f>
        <v>4172.3169797621267</v>
      </c>
      <c r="I123" s="45">
        <f>I57*C151</f>
        <v>4071.0594468792679</v>
      </c>
      <c r="J123" s="4"/>
      <c r="K123" s="4"/>
      <c r="L123" s="4"/>
      <c r="M123" s="4"/>
    </row>
    <row r="124" spans="1:13" x14ac:dyDescent="0.2">
      <c r="A124" s="31" t="s">
        <v>52</v>
      </c>
      <c r="B124" s="38"/>
      <c r="C124" s="217">
        <v>4407.5256325632563</v>
      </c>
      <c r="D124" s="31"/>
      <c r="E124" s="31" t="s">
        <v>52</v>
      </c>
      <c r="F124" s="34"/>
      <c r="G124" s="45">
        <f>G57*C152</f>
        <v>5011.0287346336963</v>
      </c>
      <c r="H124" s="45">
        <f>H57*C152</f>
        <v>4892.2980548777286</v>
      </c>
      <c r="I124" s="45">
        <f>I57*C152</f>
        <v>4773.5673751217601</v>
      </c>
      <c r="J124" s="4"/>
      <c r="K124" s="4"/>
      <c r="L124" s="4"/>
      <c r="M124" s="4"/>
    </row>
    <row r="125" spans="1:13" x14ac:dyDescent="0.2">
      <c r="A125" s="31" t="s">
        <v>53</v>
      </c>
      <c r="B125" s="38"/>
      <c r="C125" s="217">
        <v>5671.4446029735318</v>
      </c>
      <c r="D125" s="31"/>
      <c r="E125" s="31" t="s">
        <v>53</v>
      </c>
      <c r="F125" s="34"/>
      <c r="G125" s="45">
        <f>G57*C153</f>
        <v>6448.0105713771318</v>
      </c>
      <c r="H125" s="45">
        <f>H57*C153</f>
        <v>6295.2322261000454</v>
      </c>
      <c r="I125" s="45">
        <f>I57*C153</f>
        <v>6142.4538808229572</v>
      </c>
      <c r="J125" s="14"/>
      <c r="K125" s="4"/>
      <c r="L125" s="4"/>
      <c r="M125" s="4"/>
    </row>
    <row r="126" spans="1:13" x14ac:dyDescent="0.2">
      <c r="A126" s="31" t="s">
        <v>54</v>
      </c>
      <c r="B126" s="38"/>
      <c r="C126" s="217">
        <v>6735.9842393695744</v>
      </c>
      <c r="D126" s="31"/>
      <c r="E126" s="31" t="s">
        <v>54</v>
      </c>
      <c r="F126" s="34"/>
      <c r="G126" s="45">
        <f>G57*C154</f>
        <v>7658.3129387021663</v>
      </c>
      <c r="H126" s="45">
        <f>H57*C154</f>
        <v>7476.8578425236974</v>
      </c>
      <c r="I126" s="45">
        <f>I57*C154</f>
        <v>7295.4027463452267</v>
      </c>
      <c r="J126" s="14"/>
      <c r="K126" s="4"/>
      <c r="L126" s="4"/>
      <c r="M126" s="4"/>
    </row>
    <row r="127" spans="1:13" x14ac:dyDescent="0.2">
      <c r="A127" s="31" t="s">
        <v>55</v>
      </c>
      <c r="B127" s="38"/>
      <c r="C127" s="217">
        <v>7253.6007520300809</v>
      </c>
      <c r="D127" s="31"/>
      <c r="E127" s="31" t="s">
        <v>55</v>
      </c>
      <c r="F127" s="34"/>
      <c r="G127" s="45">
        <f>G57*C155</f>
        <v>8246.8044041401627</v>
      </c>
      <c r="H127" s="45">
        <f>H57*C155</f>
        <v>8051.4056657632127</v>
      </c>
      <c r="I127" s="45">
        <f>I57*C155</f>
        <v>7856.0069273862619</v>
      </c>
      <c r="J127" s="14"/>
      <c r="K127" s="4"/>
      <c r="L127" s="4"/>
      <c r="M127" s="4"/>
    </row>
    <row r="128" spans="1:13" x14ac:dyDescent="0.2">
      <c r="A128" s="31" t="s">
        <v>57</v>
      </c>
      <c r="B128" s="38"/>
      <c r="C128" s="217">
        <v>8806</v>
      </c>
      <c r="D128" s="31"/>
      <c r="E128" s="31" t="s">
        <v>57</v>
      </c>
      <c r="F128" s="34"/>
      <c r="G128" s="45">
        <f>G57*C156</f>
        <v>10011.766854211486</v>
      </c>
      <c r="H128" s="45">
        <f>H57*C156</f>
        <v>9774.5493192284848</v>
      </c>
      <c r="I128" s="45">
        <f>I57*C156</f>
        <v>9537.3317842454817</v>
      </c>
      <c r="J128" s="14"/>
      <c r="K128" s="4"/>
      <c r="L128" s="4"/>
      <c r="M128" s="4"/>
    </row>
    <row r="129" spans="1:13" x14ac:dyDescent="0.2">
      <c r="A129" s="31"/>
      <c r="B129" s="38"/>
      <c r="C129" s="32"/>
      <c r="D129" s="31"/>
      <c r="E129" s="31"/>
      <c r="F129" s="34"/>
      <c r="G129" s="45"/>
      <c r="H129" s="45"/>
      <c r="I129" s="45"/>
      <c r="J129" s="4"/>
      <c r="K129" s="4"/>
      <c r="L129" s="4"/>
      <c r="M129" s="4"/>
    </row>
    <row r="130" spans="1:13" x14ac:dyDescent="0.2">
      <c r="A130" s="21" t="s">
        <v>58</v>
      </c>
      <c r="B130" s="38"/>
      <c r="C130" s="38"/>
      <c r="D130" s="31"/>
      <c r="E130" s="21" t="s">
        <v>58</v>
      </c>
      <c r="F130" s="34"/>
      <c r="G130" s="45"/>
      <c r="H130" s="45"/>
      <c r="I130" s="45"/>
      <c r="J130" s="4"/>
      <c r="K130" s="4"/>
      <c r="L130" s="4"/>
      <c r="M130" s="4"/>
    </row>
    <row r="131" spans="1:13" x14ac:dyDescent="0.2">
      <c r="A131" s="31" t="s">
        <v>50</v>
      </c>
      <c r="B131" s="38"/>
      <c r="C131" s="32">
        <f>C113+C122</f>
        <v>3192.3581916383273</v>
      </c>
      <c r="D131" s="31"/>
      <c r="E131" s="31" t="s">
        <v>50</v>
      </c>
      <c r="F131" s="34"/>
      <c r="G131" s="32">
        <f>G113+G122</f>
        <v>3586.2175055061261</v>
      </c>
      <c r="H131" s="32">
        <f>H113+H122</f>
        <v>3506.8486905741302</v>
      </c>
      <c r="I131" s="32">
        <f>I113+I122</f>
        <v>3427.4798756421337</v>
      </c>
      <c r="J131" s="4"/>
      <c r="K131" s="4"/>
      <c r="L131" s="4"/>
      <c r="M131" s="4"/>
    </row>
    <row r="132" spans="1:13" x14ac:dyDescent="0.2">
      <c r="A132" s="31" t="s">
        <v>51</v>
      </c>
      <c r="B132" s="38"/>
      <c r="C132" s="32">
        <f t="shared" ref="C132:C137" si="14">C114+C123</f>
        <v>6968.8127812781277</v>
      </c>
      <c r="D132" s="31"/>
      <c r="E132" s="31" t="s">
        <v>51</v>
      </c>
      <c r="F132" s="34"/>
      <c r="G132" s="32">
        <f t="shared" ref="G132:I137" si="15">G114+G123</f>
        <v>7825.2462668148928</v>
      </c>
      <c r="H132" s="32">
        <f t="shared" si="15"/>
        <v>7652.4997844380341</v>
      </c>
      <c r="I132" s="32">
        <f t="shared" si="15"/>
        <v>7479.7533020611736</v>
      </c>
      <c r="J132" s="4"/>
      <c r="K132" s="4"/>
      <c r="L132" s="4"/>
      <c r="M132" s="4"/>
    </row>
    <row r="133" spans="1:13" x14ac:dyDescent="0.2">
      <c r="A133" s="31" t="s">
        <v>52</v>
      </c>
      <c r="B133" s="38"/>
      <c r="C133" s="32">
        <f t="shared" si="14"/>
        <v>8560.9265526552663</v>
      </c>
      <c r="D133" s="31"/>
      <c r="E133" s="31" t="s">
        <v>52</v>
      </c>
      <c r="F133" s="34"/>
      <c r="G133" s="32">
        <f t="shared" si="15"/>
        <v>9606.6226224801903</v>
      </c>
      <c r="H133" s="32">
        <f t="shared" si="15"/>
        <v>9395.3906638666049</v>
      </c>
      <c r="I133" s="32">
        <f t="shared" si="15"/>
        <v>9184.1587052530158</v>
      </c>
      <c r="J133" s="4"/>
      <c r="K133" s="4"/>
      <c r="L133" s="4"/>
      <c r="M133" s="4"/>
    </row>
    <row r="134" spans="1:13" x14ac:dyDescent="0.2">
      <c r="A134" s="31" t="s">
        <v>53</v>
      </c>
      <c r="B134" s="38"/>
      <c r="C134" s="32">
        <f t="shared" si="14"/>
        <v>11856.258830588707</v>
      </c>
      <c r="D134" s="31"/>
      <c r="E134" s="31" t="s">
        <v>53</v>
      </c>
      <c r="F134" s="34"/>
      <c r="G134" s="32">
        <f t="shared" si="15"/>
        <v>13291.292741513669</v>
      </c>
      <c r="H134" s="32">
        <f t="shared" si="15"/>
        <v>13000.771077795143</v>
      </c>
      <c r="I134" s="32">
        <f t="shared" si="15"/>
        <v>12710.249414076616</v>
      </c>
      <c r="J134" s="4"/>
      <c r="K134" s="4"/>
      <c r="L134" s="4"/>
      <c r="M134" s="4"/>
    </row>
    <row r="135" spans="1:13" x14ac:dyDescent="0.2">
      <c r="A135" s="31" t="s">
        <v>54</v>
      </c>
      <c r="B135" s="38"/>
      <c r="C135" s="32">
        <f t="shared" si="14"/>
        <v>14972.461618464738</v>
      </c>
      <c r="D135" s="31"/>
      <c r="E135" s="31" t="s">
        <v>54</v>
      </c>
      <c r="F135" s="34"/>
      <c r="G135" s="32">
        <f t="shared" si="15"/>
        <v>16771.689140274619</v>
      </c>
      <c r="H135" s="32">
        <f t="shared" si="15"/>
        <v>16406.797697471739</v>
      </c>
      <c r="I135" s="32">
        <f t="shared" si="15"/>
        <v>16041.906254668855</v>
      </c>
      <c r="J135" s="4"/>
      <c r="K135" s="4"/>
      <c r="L135" s="4"/>
      <c r="M135" s="4"/>
    </row>
    <row r="136" spans="1:13" x14ac:dyDescent="0.2">
      <c r="A136" s="31" t="s">
        <v>55</v>
      </c>
      <c r="B136" s="38"/>
      <c r="C136" s="32">
        <f t="shared" si="14"/>
        <v>17395.445993839752</v>
      </c>
      <c r="D136" s="31"/>
      <c r="E136" s="31" t="s">
        <v>55</v>
      </c>
      <c r="F136" s="34"/>
      <c r="G136" s="32">
        <f t="shared" si="15"/>
        <v>19468.403980352778</v>
      </c>
      <c r="H136" s="32">
        <f t="shared" si="15"/>
        <v>19047.134040786161</v>
      </c>
      <c r="I136" s="32">
        <f t="shared" si="15"/>
        <v>18625.86410121954</v>
      </c>
      <c r="J136" s="4"/>
      <c r="K136" s="4"/>
      <c r="L136" s="4"/>
      <c r="M136" s="4"/>
    </row>
    <row r="137" spans="1:13" x14ac:dyDescent="0.2">
      <c r="A137" s="31" t="s">
        <v>59</v>
      </c>
      <c r="B137" s="38"/>
      <c r="C137" s="32">
        <f t="shared" si="14"/>
        <v>29956</v>
      </c>
      <c r="D137" s="31"/>
      <c r="E137" s="31" t="s">
        <v>59</v>
      </c>
      <c r="F137" s="34"/>
      <c r="G137" s="32">
        <f t="shared" si="15"/>
        <v>33413.507403207215</v>
      </c>
      <c r="H137" s="32">
        <f t="shared" si="15"/>
        <v>32705.253701603608</v>
      </c>
      <c r="I137" s="32">
        <f t="shared" si="15"/>
        <v>31997</v>
      </c>
      <c r="J137" s="4"/>
      <c r="K137" s="4"/>
      <c r="L137" s="4"/>
      <c r="M137" s="4"/>
    </row>
    <row r="138" spans="1:13" x14ac:dyDescent="0.2">
      <c r="A138" s="31"/>
      <c r="B138" s="38"/>
      <c r="C138" s="38"/>
      <c r="D138" s="31"/>
      <c r="E138" s="31"/>
      <c r="F138" s="34"/>
      <c r="G138" s="45"/>
      <c r="H138" s="45"/>
      <c r="I138" s="56"/>
      <c r="J138" s="4"/>
      <c r="K138" s="4"/>
      <c r="L138" s="4"/>
      <c r="M138" s="4"/>
    </row>
    <row r="139" spans="1:13" x14ac:dyDescent="0.2">
      <c r="A139" s="21" t="s">
        <v>60</v>
      </c>
      <c r="B139" s="38"/>
      <c r="C139" s="62"/>
      <c r="D139" s="31"/>
      <c r="E139" s="31"/>
      <c r="F139" s="34"/>
      <c r="G139" s="45"/>
      <c r="H139" s="45"/>
      <c r="I139" s="56"/>
      <c r="J139" s="4"/>
      <c r="K139" s="4"/>
      <c r="L139" s="4"/>
      <c r="M139" s="4"/>
    </row>
    <row r="140" spans="1:13" x14ac:dyDescent="0.2">
      <c r="A140" s="21" t="s">
        <v>49</v>
      </c>
      <c r="B140" s="38"/>
      <c r="C140" s="62"/>
      <c r="D140" s="31"/>
      <c r="E140" s="31"/>
      <c r="F140" s="34"/>
      <c r="G140" s="45"/>
      <c r="H140" s="45"/>
      <c r="I140" s="56"/>
      <c r="J140" s="4"/>
      <c r="K140" s="4"/>
      <c r="L140" s="4"/>
      <c r="M140" s="4"/>
    </row>
    <row r="141" spans="1:13" x14ac:dyDescent="0.2">
      <c r="A141" s="31" t="s">
        <v>50</v>
      </c>
      <c r="B141" s="38"/>
      <c r="C141" s="38">
        <f>C113/C119</f>
        <v>6.7143497730278903E-2</v>
      </c>
      <c r="D141" s="43">
        <v>7.897492147379967E-2</v>
      </c>
      <c r="E141" s="43">
        <f t="shared" ref="E141:E165" si="16">+C141-D141</f>
        <v>-1.1831423743520766E-2</v>
      </c>
      <c r="F141" s="43">
        <f t="shared" ref="F141:F146" si="17">+E141/C141</f>
        <v>-0.17621101288241781</v>
      </c>
      <c r="G141" s="45"/>
      <c r="H141" s="45"/>
      <c r="I141" s="56"/>
      <c r="J141" s="4"/>
      <c r="K141" s="4"/>
      <c r="L141" s="4"/>
      <c r="M141" s="4"/>
    </row>
    <row r="142" spans="1:13" x14ac:dyDescent="0.2">
      <c r="A142" s="31" t="s">
        <v>51</v>
      </c>
      <c r="B142" s="38"/>
      <c r="C142" s="38">
        <f>C114/C119</f>
        <v>0.15176955520611163</v>
      </c>
      <c r="D142" s="43">
        <v>0.18711671735553673</v>
      </c>
      <c r="E142" s="43">
        <f t="shared" si="16"/>
        <v>-3.5347162149425099E-2</v>
      </c>
      <c r="F142" s="43">
        <f t="shared" si="17"/>
        <v>-0.23290021573445119</v>
      </c>
      <c r="G142" s="45"/>
      <c r="H142" s="45"/>
      <c r="I142" s="56"/>
      <c r="J142" s="4"/>
      <c r="K142" s="4"/>
      <c r="L142" s="4"/>
      <c r="M142" s="4"/>
    </row>
    <row r="143" spans="1:13" x14ac:dyDescent="0.2">
      <c r="A143" s="31" t="s">
        <v>52</v>
      </c>
      <c r="B143" s="38"/>
      <c r="C143" s="38">
        <f>C115/C119</f>
        <v>0.19637829409418484</v>
      </c>
      <c r="D143" s="43">
        <v>0.25661863688487807</v>
      </c>
      <c r="E143" s="43">
        <f t="shared" si="16"/>
        <v>-6.0240342790693235E-2</v>
      </c>
      <c r="F143" s="43">
        <f t="shared" si="17"/>
        <v>-0.30675662536207499</v>
      </c>
      <c r="G143" s="45"/>
      <c r="H143" s="45"/>
      <c r="I143" s="56"/>
      <c r="J143" s="4"/>
      <c r="K143" s="4"/>
      <c r="L143" s="4"/>
      <c r="M143" s="4"/>
    </row>
    <row r="144" spans="1:13" x14ac:dyDescent="0.2">
      <c r="A144" s="31" t="s">
        <v>53</v>
      </c>
      <c r="B144" s="38"/>
      <c r="C144" s="38">
        <f>C116/C119</f>
        <v>0.29242620461537472</v>
      </c>
      <c r="D144" s="43">
        <v>0.38654833723886922</v>
      </c>
      <c r="E144" s="43">
        <f t="shared" si="16"/>
        <v>-9.4122132623494503E-2</v>
      </c>
      <c r="F144" s="43">
        <f t="shared" si="17"/>
        <v>-0.32186627305611137</v>
      </c>
      <c r="G144" s="45"/>
      <c r="H144" s="45"/>
      <c r="I144" s="56"/>
      <c r="J144" s="4"/>
      <c r="K144" s="4"/>
      <c r="L144" s="4"/>
      <c r="M144" s="4"/>
    </row>
    <row r="145" spans="1:13" x14ac:dyDescent="0.2">
      <c r="A145" s="31" t="s">
        <v>54</v>
      </c>
      <c r="B145" s="38"/>
      <c r="C145" s="38">
        <f>C117/C119</f>
        <v>0.38943155456714723</v>
      </c>
      <c r="D145" s="43">
        <v>0.50855063070249784</v>
      </c>
      <c r="E145" s="43">
        <f t="shared" si="16"/>
        <v>-0.11911907613535061</v>
      </c>
      <c r="F145" s="43">
        <f t="shared" si="17"/>
        <v>-0.3058793637504576</v>
      </c>
      <c r="G145" s="45"/>
      <c r="H145" s="45"/>
      <c r="I145" s="56"/>
      <c r="J145" s="4"/>
      <c r="K145" s="4"/>
      <c r="L145" s="4"/>
      <c r="M145" s="4"/>
    </row>
    <row r="146" spans="1:13" x14ac:dyDescent="0.2">
      <c r="A146" s="31" t="s">
        <v>55</v>
      </c>
      <c r="B146" s="38"/>
      <c r="C146" s="38">
        <f>C118/C119</f>
        <v>0.47951986958910975</v>
      </c>
      <c r="D146" s="43">
        <v>0.61883631649798077</v>
      </c>
      <c r="E146" s="43">
        <f t="shared" si="16"/>
        <v>-0.13931644690887102</v>
      </c>
      <c r="F146" s="43">
        <f t="shared" si="17"/>
        <v>-0.29053320987146641</v>
      </c>
      <c r="G146" s="45"/>
      <c r="H146" s="45"/>
      <c r="I146" s="56"/>
      <c r="J146" s="4"/>
      <c r="K146" s="4"/>
      <c r="L146" s="4"/>
      <c r="M146" s="4"/>
    </row>
    <row r="147" spans="1:13" x14ac:dyDescent="0.2">
      <c r="A147" s="31" t="s">
        <v>56</v>
      </c>
      <c r="B147" s="38"/>
      <c r="C147" s="38">
        <f>C119/C119</f>
        <v>1</v>
      </c>
      <c r="D147" s="43">
        <v>1</v>
      </c>
      <c r="E147" s="43">
        <f t="shared" si="16"/>
        <v>0</v>
      </c>
      <c r="F147" s="37"/>
      <c r="G147" s="45"/>
      <c r="H147" s="45"/>
      <c r="I147" s="56"/>
      <c r="J147" s="4"/>
      <c r="K147" s="4"/>
      <c r="L147" s="4"/>
      <c r="M147" s="4"/>
    </row>
    <row r="148" spans="1:13" x14ac:dyDescent="0.2">
      <c r="A148" s="31"/>
      <c r="B148" s="38"/>
      <c r="C148" s="38"/>
      <c r="D148" s="31"/>
      <c r="E148" s="43"/>
      <c r="F148" s="37"/>
      <c r="G148" s="45"/>
      <c r="H148" s="45"/>
      <c r="I148" s="56"/>
      <c r="J148" s="4"/>
      <c r="K148" s="4"/>
      <c r="L148" s="4"/>
      <c r="M148" s="4"/>
    </row>
    <row r="149" spans="1:13" x14ac:dyDescent="0.2">
      <c r="A149" s="21" t="s">
        <v>0</v>
      </c>
      <c r="B149" s="38"/>
      <c r="C149" s="38"/>
      <c r="D149" s="31"/>
      <c r="E149" s="43"/>
      <c r="F149" s="37"/>
      <c r="G149" s="45"/>
      <c r="H149" s="45"/>
      <c r="I149" s="56"/>
      <c r="J149" s="4"/>
      <c r="K149" s="4"/>
      <c r="L149" s="4"/>
      <c r="M149" s="4"/>
    </row>
    <row r="150" spans="1:13" x14ac:dyDescent="0.2">
      <c r="A150" s="31" t="s">
        <v>50</v>
      </c>
      <c r="B150" s="38"/>
      <c r="C150" s="38">
        <f>C122/C128</f>
        <v>0.20125746248500209</v>
      </c>
      <c r="D150" s="43">
        <v>0.25855374909002671</v>
      </c>
      <c r="E150" s="43">
        <f t="shared" si="16"/>
        <v>-5.7296286605024616E-2</v>
      </c>
      <c r="F150" s="43">
        <f t="shared" ref="F150:F155" si="18">+E150/C150</f>
        <v>-0.28469148869098154</v>
      </c>
      <c r="G150" s="45"/>
      <c r="H150" s="45"/>
      <c r="I150" s="56"/>
      <c r="J150" s="4"/>
      <c r="K150" s="4"/>
      <c r="L150" s="4"/>
      <c r="M150" s="4"/>
    </row>
    <row r="151" spans="1:13" x14ac:dyDescent="0.2">
      <c r="A151" s="31" t="s">
        <v>51</v>
      </c>
      <c r="B151" s="38"/>
      <c r="C151" s="38">
        <f>C123/C128</f>
        <v>0.4268551770007798</v>
      </c>
      <c r="D151" s="43">
        <v>0.45486532395049745</v>
      </c>
      <c r="E151" s="43">
        <f t="shared" si="16"/>
        <v>-2.8010146949717651E-2</v>
      </c>
      <c r="F151" s="43">
        <f t="shared" si="18"/>
        <v>-6.5619789706021253E-2</v>
      </c>
      <c r="G151" s="45"/>
      <c r="H151" s="45"/>
      <c r="I151" s="56"/>
      <c r="J151" s="4"/>
      <c r="K151" s="4"/>
      <c r="L151" s="4"/>
      <c r="M151" s="4"/>
    </row>
    <row r="152" spans="1:13" x14ac:dyDescent="0.2">
      <c r="A152" s="31" t="s">
        <v>52</v>
      </c>
      <c r="B152" s="38"/>
      <c r="C152" s="38">
        <f>C124/C128</f>
        <v>0.50051392602353584</v>
      </c>
      <c r="D152" s="43">
        <v>0.54743994176170829</v>
      </c>
      <c r="E152" s="43">
        <f t="shared" si="16"/>
        <v>-4.6926015738172455E-2</v>
      </c>
      <c r="F152" s="43">
        <f t="shared" si="18"/>
        <v>-9.3755664524638696E-2</v>
      </c>
      <c r="G152" s="45"/>
      <c r="H152" s="45"/>
      <c r="I152" s="56"/>
      <c r="J152" s="4"/>
      <c r="K152" s="4"/>
      <c r="L152" s="4"/>
      <c r="M152" s="4"/>
    </row>
    <row r="153" spans="1:13" x14ac:dyDescent="0.2">
      <c r="A153" s="31" t="s">
        <v>53</v>
      </c>
      <c r="B153" s="38"/>
      <c r="C153" s="38">
        <f>C125/C128</f>
        <v>0.64404322086912691</v>
      </c>
      <c r="D153" s="43">
        <v>0.6948556175685513</v>
      </c>
      <c r="E153" s="43">
        <f t="shared" si="16"/>
        <v>-5.0812396699424389E-2</v>
      </c>
      <c r="F153" s="43">
        <f t="shared" si="18"/>
        <v>-7.8895942155642607E-2</v>
      </c>
      <c r="G153" s="45"/>
      <c r="H153" s="45"/>
      <c r="I153" s="56"/>
      <c r="J153" s="4"/>
      <c r="K153" s="4"/>
      <c r="L153" s="4"/>
      <c r="M153" s="4"/>
    </row>
    <row r="154" spans="1:13" x14ac:dyDescent="0.2">
      <c r="A154" s="31" t="s">
        <v>54</v>
      </c>
      <c r="B154" s="38"/>
      <c r="C154" s="38">
        <f>C126/C128</f>
        <v>0.76493121046667889</v>
      </c>
      <c r="D154" s="43">
        <v>0.8074496481436545</v>
      </c>
      <c r="E154" s="43">
        <f t="shared" si="16"/>
        <v>-4.2518437676975607E-2</v>
      </c>
      <c r="F154" s="43">
        <f t="shared" si="18"/>
        <v>-5.5584655319574974E-2</v>
      </c>
      <c r="G154" s="45"/>
      <c r="H154" s="45"/>
      <c r="I154" s="56"/>
      <c r="J154" s="4"/>
      <c r="K154" s="4"/>
      <c r="L154" s="4"/>
      <c r="M154" s="4"/>
    </row>
    <row r="155" spans="1:13" x14ac:dyDescent="0.2">
      <c r="A155" s="31" t="s">
        <v>55</v>
      </c>
      <c r="B155" s="38"/>
      <c r="C155" s="38">
        <f>C127/C128</f>
        <v>0.82371119146378391</v>
      </c>
      <c r="D155" s="43">
        <v>0.86338267410822611</v>
      </c>
      <c r="E155" s="43">
        <f t="shared" si="16"/>
        <v>-3.9671482644442202E-2</v>
      </c>
      <c r="F155" s="43">
        <f t="shared" si="18"/>
        <v>-4.8161883747073551E-2</v>
      </c>
      <c r="G155" s="45"/>
      <c r="H155" s="45"/>
      <c r="I155" s="56"/>
      <c r="J155" s="4"/>
      <c r="K155" s="4"/>
      <c r="L155" s="4"/>
      <c r="M155" s="4"/>
    </row>
    <row r="156" spans="1:13" x14ac:dyDescent="0.2">
      <c r="A156" s="31" t="s">
        <v>57</v>
      </c>
      <c r="B156" s="38"/>
      <c r="C156" s="38">
        <f>C128/C128</f>
        <v>1</v>
      </c>
      <c r="D156" s="43">
        <v>1</v>
      </c>
      <c r="E156" s="43">
        <f t="shared" si="16"/>
        <v>0</v>
      </c>
      <c r="F156" s="37"/>
      <c r="G156" s="45"/>
      <c r="H156" s="45"/>
      <c r="I156" s="56"/>
      <c r="J156" s="4"/>
      <c r="K156" s="4"/>
      <c r="L156" s="4"/>
      <c r="M156" s="4"/>
    </row>
    <row r="157" spans="1:13" x14ac:dyDescent="0.2">
      <c r="A157" s="31"/>
      <c r="B157" s="38"/>
      <c r="C157" s="38"/>
      <c r="D157" s="31"/>
      <c r="E157" s="43"/>
      <c r="F157" s="37"/>
      <c r="G157" s="45"/>
      <c r="H157" s="45"/>
      <c r="I157" s="56"/>
      <c r="J157" s="4"/>
      <c r="K157" s="4"/>
      <c r="L157" s="4"/>
      <c r="M157" s="4"/>
    </row>
    <row r="158" spans="1:13" x14ac:dyDescent="0.2">
      <c r="A158" s="21" t="s">
        <v>58</v>
      </c>
      <c r="B158" s="38"/>
      <c r="C158" s="38"/>
      <c r="D158" s="31"/>
      <c r="E158" s="43"/>
      <c r="F158" s="37"/>
      <c r="G158" s="45"/>
      <c r="H158" s="45"/>
      <c r="I158" s="56"/>
      <c r="J158" s="4"/>
      <c r="K158" s="4"/>
      <c r="L158" s="4"/>
      <c r="M158" s="4"/>
    </row>
    <row r="159" spans="1:13" x14ac:dyDescent="0.2">
      <c r="A159" s="31" t="s">
        <v>50</v>
      </c>
      <c r="B159" s="38"/>
      <c r="C159" s="38">
        <f>C131/C137</f>
        <v>0.10656823980632686</v>
      </c>
      <c r="D159" s="43">
        <v>0.13127672355913636</v>
      </c>
      <c r="E159" s="43">
        <f t="shared" si="16"/>
        <v>-2.4708483752809499E-2</v>
      </c>
      <c r="F159" s="43">
        <f t="shared" ref="F159:F164" si="19">+E159/C159</f>
        <v>-0.23185598070976657</v>
      </c>
      <c r="G159" s="45"/>
      <c r="H159" s="45"/>
      <c r="I159" s="56"/>
      <c r="J159" s="4"/>
      <c r="K159" s="4"/>
      <c r="L159" s="4"/>
      <c r="M159" s="4"/>
    </row>
    <row r="160" spans="1:13" x14ac:dyDescent="0.2">
      <c r="A160" s="31" t="s">
        <v>51</v>
      </c>
      <c r="B160" s="38"/>
      <c r="C160" s="38">
        <f>C132/C137</f>
        <v>0.23263495731333048</v>
      </c>
      <c r="D160" s="43">
        <v>0.26509770663274318</v>
      </c>
      <c r="E160" s="43">
        <f t="shared" si="16"/>
        <v>-3.2462749319412704E-2</v>
      </c>
      <c r="F160" s="43">
        <f t="shared" si="19"/>
        <v>-0.13954372848483559</v>
      </c>
      <c r="G160" s="45"/>
      <c r="H160" s="45"/>
      <c r="I160" s="56"/>
      <c r="J160" s="4"/>
      <c r="K160" s="4"/>
      <c r="L160" s="4"/>
      <c r="M160" s="4"/>
    </row>
    <row r="161" spans="1:13" x14ac:dyDescent="0.2">
      <c r="A161" s="31" t="s">
        <v>52</v>
      </c>
      <c r="B161" s="38"/>
      <c r="C161" s="38">
        <f>C133/C137</f>
        <v>0.28578336736063781</v>
      </c>
      <c r="D161" s="43">
        <v>0.34131948125375455</v>
      </c>
      <c r="E161" s="43">
        <f t="shared" si="16"/>
        <v>-5.5536113893116745E-2</v>
      </c>
      <c r="F161" s="43">
        <f t="shared" si="19"/>
        <v>-0.19432941254077327</v>
      </c>
      <c r="G161" s="45"/>
      <c r="H161" s="45"/>
      <c r="I161" s="56"/>
      <c r="J161" s="4"/>
      <c r="K161" s="4"/>
      <c r="L161" s="4"/>
      <c r="M161" s="4"/>
    </row>
    <row r="162" spans="1:13" x14ac:dyDescent="0.2">
      <c r="A162" s="31" t="s">
        <v>53</v>
      </c>
      <c r="B162" s="38"/>
      <c r="C162" s="38">
        <f>C134/C137</f>
        <v>0.39578911839326703</v>
      </c>
      <c r="D162" s="43">
        <v>0.47634192020919469</v>
      </c>
      <c r="E162" s="43">
        <f t="shared" si="16"/>
        <v>-8.0552801815927666E-2</v>
      </c>
      <c r="F162" s="43">
        <f t="shared" si="19"/>
        <v>-0.20352454898946507</v>
      </c>
      <c r="G162" s="45"/>
      <c r="H162" s="45"/>
      <c r="I162" s="56"/>
      <c r="J162" s="4"/>
      <c r="K162" s="4"/>
      <c r="L162" s="4"/>
      <c r="M162" s="4"/>
    </row>
    <row r="163" spans="1:13" x14ac:dyDescent="0.2">
      <c r="A163" s="31" t="s">
        <v>54</v>
      </c>
      <c r="B163" s="38"/>
      <c r="C163" s="38">
        <f>C135/C137</f>
        <v>0.49981511611913265</v>
      </c>
      <c r="D163" s="43">
        <v>0.59560408494999828</v>
      </c>
      <c r="E163" s="43">
        <f t="shared" si="16"/>
        <v>-9.5788968830865628E-2</v>
      </c>
      <c r="F163" s="43">
        <f t="shared" si="19"/>
        <v>-0.19164880321073363</v>
      </c>
      <c r="G163" s="45"/>
      <c r="H163" s="45"/>
      <c r="I163" s="56"/>
      <c r="J163" s="4"/>
      <c r="K163" s="4"/>
      <c r="L163" s="4"/>
      <c r="M163" s="4"/>
    </row>
    <row r="164" spans="1:13" x14ac:dyDescent="0.2">
      <c r="A164" s="31" t="s">
        <v>55</v>
      </c>
      <c r="B164" s="38"/>
      <c r="C164" s="38">
        <f>C136/C137</f>
        <v>0.58069989297101587</v>
      </c>
      <c r="D164" s="43">
        <v>0.69005971942471467</v>
      </c>
      <c r="E164" s="43">
        <f t="shared" si="16"/>
        <v>-0.10935982645369879</v>
      </c>
      <c r="F164" s="43">
        <f t="shared" si="19"/>
        <v>-0.18832417187849768</v>
      </c>
      <c r="G164" s="45"/>
      <c r="H164" s="45"/>
      <c r="I164" s="56"/>
      <c r="J164" s="4"/>
      <c r="K164" s="4"/>
      <c r="L164" s="4"/>
      <c r="M164" s="4"/>
    </row>
    <row r="165" spans="1:13" x14ac:dyDescent="0.2">
      <c r="A165" s="31" t="s">
        <v>59</v>
      </c>
      <c r="B165" s="38"/>
      <c r="C165" s="38">
        <f>C137/C137</f>
        <v>1</v>
      </c>
      <c r="D165" s="43">
        <v>1</v>
      </c>
      <c r="E165" s="43">
        <f t="shared" si="16"/>
        <v>0</v>
      </c>
      <c r="F165" s="34"/>
      <c r="G165" s="45"/>
      <c r="H165" s="45"/>
      <c r="I165" s="56"/>
      <c r="J165" s="4"/>
      <c r="K165" s="4"/>
      <c r="L165" s="4"/>
      <c r="M165" s="4"/>
    </row>
    <row r="166" spans="1:13" x14ac:dyDescent="0.2">
      <c r="A166" s="31"/>
      <c r="B166" s="38"/>
      <c r="C166" s="38"/>
      <c r="D166" s="31"/>
      <c r="E166" s="31"/>
      <c r="F166" s="34"/>
      <c r="G166" s="45"/>
      <c r="H166" s="45"/>
      <c r="I166" s="56"/>
      <c r="J166" s="4"/>
      <c r="K166" s="4"/>
      <c r="L166" s="4"/>
      <c r="M166" s="4"/>
    </row>
  </sheetData>
  <mergeCells count="1">
    <mergeCell ref="I2:I21"/>
  </mergeCells>
  <phoneticPr fontId="0" type="noConversion"/>
  <printOptions horizontalCentered="1" verticalCentered="1"/>
  <pageMargins left="0.75" right="0.75" top="0.75" bottom="0.75" header="0.5" footer="0.5"/>
  <pageSetup scale="70" orientation="landscape" horizontalDpi="4294967293" verticalDpi="300" r:id="rId1"/>
  <headerFooter alignWithMargins="0">
    <oddFooter>&amp;R&amp;P of &amp;N</oddFooter>
  </headerFooter>
  <rowBreaks count="4" manualBreakCount="4">
    <brk id="43" max="8" man="1"/>
    <brk id="77" max="8" man="1"/>
    <brk id="108" max="16383" man="1"/>
    <brk id="1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topLeftCell="A52" zoomScaleNormal="100" workbookViewId="0">
      <selection activeCell="H150" sqref="H150:H160"/>
    </sheetView>
  </sheetViews>
  <sheetFormatPr defaultRowHeight="12.75" x14ac:dyDescent="0.2"/>
  <cols>
    <col min="1" max="1" width="55.7109375" customWidth="1"/>
    <col min="4" max="4" width="11.7109375" customWidth="1"/>
    <col min="5" max="6" width="12.7109375" customWidth="1"/>
    <col min="7" max="9" width="15.7109375" customWidth="1"/>
  </cols>
  <sheetData>
    <row r="1" spans="1:10" ht="78.75" x14ac:dyDescent="0.2">
      <c r="A1" s="171" t="s">
        <v>18</v>
      </c>
      <c r="B1" s="172">
        <v>1990</v>
      </c>
      <c r="C1" s="172">
        <v>2000</v>
      </c>
      <c r="D1" s="138" t="s">
        <v>80</v>
      </c>
      <c r="E1" s="137">
        <v>2010</v>
      </c>
      <c r="F1" s="138" t="s">
        <v>182</v>
      </c>
      <c r="G1" s="137" t="s">
        <v>183</v>
      </c>
      <c r="H1" s="137" t="s">
        <v>213</v>
      </c>
      <c r="I1" s="173" t="s">
        <v>184</v>
      </c>
    </row>
    <row r="2" spans="1:10" s="30" customFormat="1" ht="14.25" customHeight="1" x14ac:dyDescent="0.2">
      <c r="A2" s="37" t="s">
        <v>28</v>
      </c>
      <c r="B2" s="40">
        <v>11684</v>
      </c>
      <c r="C2" s="40">
        <v>11532</v>
      </c>
      <c r="D2" s="40">
        <f>C2-B2</f>
        <v>-152</v>
      </c>
      <c r="E2" s="217">
        <v>9977</v>
      </c>
      <c r="F2" s="70">
        <f>E2-C2</f>
        <v>-1555</v>
      </c>
      <c r="G2" s="37" t="s">
        <v>196</v>
      </c>
      <c r="H2" s="37"/>
      <c r="I2" s="250" t="s">
        <v>170</v>
      </c>
    </row>
    <row r="3" spans="1:10" s="30" customFormat="1" ht="14.25" x14ac:dyDescent="0.2">
      <c r="A3" s="37" t="s">
        <v>33</v>
      </c>
      <c r="B3" s="43">
        <f>B2/'STATE TOTALS'!$B$2</f>
        <v>2.7172029832488762E-2</v>
      </c>
      <c r="C3" s="43">
        <f>C2/'STATE TOTALS'!$C$2</f>
        <v>2.1778872303136521E-2</v>
      </c>
      <c r="D3" s="43">
        <f>D2/'STATE TOTALS'!$D$2</f>
        <v>-1.5275921329005156E-3</v>
      </c>
      <c r="E3" s="43">
        <f>E2/'STATE TOTALS'!$E$2</f>
        <v>1.9433758290561664E-2</v>
      </c>
      <c r="F3" s="43">
        <f>F2/'STATE TOTALS'!$F$2</f>
        <v>9.6470004342701157E-2</v>
      </c>
      <c r="G3" s="37" t="s">
        <v>40</v>
      </c>
      <c r="H3" s="37"/>
      <c r="I3" s="251"/>
    </row>
    <row r="4" spans="1:10" s="30" customFormat="1" ht="14.25" x14ac:dyDescent="0.2">
      <c r="A4" s="37" t="s">
        <v>29</v>
      </c>
      <c r="B4" s="139">
        <v>2201</v>
      </c>
      <c r="C4" s="40">
        <v>2541</v>
      </c>
      <c r="D4" s="40">
        <f>C4-B4</f>
        <v>340</v>
      </c>
      <c r="E4" s="40">
        <f>E5-E2</f>
        <v>2855</v>
      </c>
      <c r="F4" s="40">
        <f>E4-C4</f>
        <v>314</v>
      </c>
      <c r="G4" s="166" t="s">
        <v>188</v>
      </c>
      <c r="H4" s="166" t="s">
        <v>34</v>
      </c>
      <c r="I4" s="251"/>
    </row>
    <row r="5" spans="1:10" s="30" customFormat="1" ht="14.25" x14ac:dyDescent="0.2">
      <c r="A5" s="37" t="s">
        <v>30</v>
      </c>
      <c r="B5" s="139">
        <v>13885</v>
      </c>
      <c r="C5" s="40">
        <v>14073</v>
      </c>
      <c r="D5" s="40">
        <f>C5-B5</f>
        <v>188</v>
      </c>
      <c r="E5" s="217">
        <v>12832</v>
      </c>
      <c r="F5" s="70">
        <f>E5-C5</f>
        <v>-1241</v>
      </c>
      <c r="G5" s="217">
        <v>13198</v>
      </c>
      <c r="H5" s="194">
        <f>(E5-B5)/('STATE TOTALS'!E5-'STATE TOTALS'!B5)*('STATE TOTALS'!G5-'STATE TOTALS'!E5)+E5</f>
        <v>12228.496705452191</v>
      </c>
      <c r="I5" s="251"/>
    </row>
    <row r="6" spans="1:10" s="30" customFormat="1" ht="14.25" x14ac:dyDescent="0.2">
      <c r="A6" s="37" t="s">
        <v>33</v>
      </c>
      <c r="B6" s="43">
        <f>B5/'STATE TOTALS'!$B$5</f>
        <v>2.8026045955852671E-2</v>
      </c>
      <c r="C6" s="43">
        <f>C5/'STATE TOTALS'!$C$5</f>
        <v>2.3227333420259094E-2</v>
      </c>
      <c r="D6" s="43"/>
      <c r="E6" s="43">
        <f>E5/'STATE TOTALS'!$E$5</f>
        <v>2.1370496324447836E-2</v>
      </c>
      <c r="F6" s="43">
        <f>F5/'STATE TOTALS'!$F$5</f>
        <v>0.22867145752717893</v>
      </c>
      <c r="G6" s="37"/>
      <c r="H6" s="37"/>
      <c r="I6" s="251"/>
    </row>
    <row r="7" spans="1:10" s="30" customFormat="1" ht="14.25" x14ac:dyDescent="0.2">
      <c r="A7" s="37"/>
      <c r="B7" s="41"/>
      <c r="C7" s="41"/>
      <c r="D7" s="41"/>
      <c r="E7" s="141"/>
      <c r="F7" s="37"/>
      <c r="G7" s="37"/>
      <c r="H7" s="37"/>
      <c r="I7" s="251"/>
    </row>
    <row r="8" spans="1:10" s="30" customFormat="1" ht="14.25" x14ac:dyDescent="0.2">
      <c r="A8" s="37" t="s">
        <v>92</v>
      </c>
      <c r="B8" s="139">
        <v>17316</v>
      </c>
      <c r="C8" s="40">
        <v>17299</v>
      </c>
      <c r="D8" s="40">
        <f>C8-B8</f>
        <v>-17</v>
      </c>
      <c r="E8" s="217">
        <v>16350</v>
      </c>
      <c r="F8" s="70">
        <f>E8-C8</f>
        <v>-949</v>
      </c>
      <c r="G8" s="40">
        <f>G5*G9</f>
        <v>16223.420876856389</v>
      </c>
      <c r="H8" s="40">
        <f>H5*H9</f>
        <v>15031.675158645452</v>
      </c>
      <c r="I8" s="251"/>
    </row>
    <row r="9" spans="1:10" s="30" customFormat="1" ht="14.25" x14ac:dyDescent="0.2">
      <c r="A9" s="37" t="s">
        <v>173</v>
      </c>
      <c r="B9" s="191">
        <f>B8/B5</f>
        <v>1.2471011883327332</v>
      </c>
      <c r="C9" s="191">
        <f>C8/C5</f>
        <v>1.2292332835926951</v>
      </c>
      <c r="D9" s="191"/>
      <c r="E9" s="198">
        <f>E8/E5</f>
        <v>1.2741583541147132</v>
      </c>
      <c r="F9" s="199" t="s">
        <v>45</v>
      </c>
      <c r="G9" s="200">
        <f>+C9</f>
        <v>1.2292332835926951</v>
      </c>
      <c r="H9" s="201">
        <f>G9</f>
        <v>1.2292332835926951</v>
      </c>
      <c r="I9" s="251"/>
    </row>
    <row r="10" spans="1:10" s="30" customFormat="1" ht="14.25" x14ac:dyDescent="0.2">
      <c r="A10" s="37"/>
      <c r="B10" s="41"/>
      <c r="C10" s="41"/>
      <c r="D10" s="41"/>
      <c r="E10" s="141"/>
      <c r="F10" s="37"/>
      <c r="G10" s="37" t="s">
        <v>226</v>
      </c>
      <c r="H10" s="37"/>
      <c r="I10" s="251"/>
    </row>
    <row r="11" spans="1:10" s="30" customFormat="1" ht="14.25" x14ac:dyDescent="0.2">
      <c r="A11" s="37" t="s">
        <v>123</v>
      </c>
      <c r="B11" s="149">
        <f>B13/B8</f>
        <v>0.86954261954261958</v>
      </c>
      <c r="C11" s="149">
        <f>C13/C8</f>
        <v>0.88039771085033813</v>
      </c>
      <c r="D11" s="41"/>
      <c r="E11" s="200">
        <f>E13/E8</f>
        <v>0.92758409785932727</v>
      </c>
      <c r="F11" s="202" t="s">
        <v>45</v>
      </c>
      <c r="G11" s="200">
        <f>E11</f>
        <v>0.92758409785932727</v>
      </c>
      <c r="H11" s="201">
        <f>G11</f>
        <v>0.92758409785932727</v>
      </c>
      <c r="I11" s="251"/>
    </row>
    <row r="12" spans="1:10" s="30" customFormat="1" ht="14.25" x14ac:dyDescent="0.2">
      <c r="A12" s="37"/>
      <c r="B12" s="41"/>
      <c r="C12" s="41"/>
      <c r="D12" s="41"/>
      <c r="E12" s="141"/>
      <c r="F12" s="37"/>
      <c r="G12" s="37"/>
      <c r="H12" s="37"/>
      <c r="I12" s="251"/>
    </row>
    <row r="13" spans="1:10" s="30" customFormat="1" ht="14.25" x14ac:dyDescent="0.2">
      <c r="A13" s="37" t="s">
        <v>124</v>
      </c>
      <c r="B13" s="139">
        <v>15057</v>
      </c>
      <c r="C13" s="139">
        <v>15230</v>
      </c>
      <c r="D13" s="40">
        <f>C13-B13</f>
        <v>173</v>
      </c>
      <c r="E13" s="217">
        <v>15166</v>
      </c>
      <c r="F13" s="70">
        <f>E13-C13</f>
        <v>-64</v>
      </c>
      <c r="G13" s="40">
        <f>G11*G8</f>
        <v>15048.58721825101</v>
      </c>
      <c r="H13" s="40">
        <f>H11*H8</f>
        <v>13943.142841346602</v>
      </c>
      <c r="I13" s="251"/>
      <c r="J13"/>
    </row>
    <row r="14" spans="1:10" s="30" customFormat="1" ht="14.25" x14ac:dyDescent="0.2">
      <c r="A14" s="37" t="s">
        <v>25</v>
      </c>
      <c r="B14" s="139">
        <v>13457</v>
      </c>
      <c r="C14" s="139">
        <v>12591</v>
      </c>
      <c r="D14" s="40">
        <f>C14-B14</f>
        <v>-866</v>
      </c>
      <c r="E14" s="40">
        <v>12266</v>
      </c>
      <c r="F14" s="70">
        <f>E14-C14</f>
        <v>-325</v>
      </c>
      <c r="G14" s="40">
        <f>G13-G15</f>
        <v>12171.038561193913</v>
      </c>
      <c r="H14" s="40">
        <f>H13-H15</f>
        <v>11276.974158773402</v>
      </c>
      <c r="I14" s="251"/>
    </row>
    <row r="15" spans="1:10" s="30" customFormat="1" ht="14.25" x14ac:dyDescent="0.2">
      <c r="A15" s="37" t="s">
        <v>26</v>
      </c>
      <c r="B15" s="139">
        <f>B13-B14</f>
        <v>1600</v>
      </c>
      <c r="C15" s="139">
        <f>C13-C14</f>
        <v>2639</v>
      </c>
      <c r="D15" s="40">
        <f>C15-B15</f>
        <v>1039</v>
      </c>
      <c r="E15" s="139">
        <f>E13-E14</f>
        <v>2900</v>
      </c>
      <c r="F15" s="70">
        <f>E15-C15</f>
        <v>261</v>
      </c>
      <c r="G15" s="40">
        <f>G16*G13</f>
        <v>2877.5486570570965</v>
      </c>
      <c r="H15" s="40">
        <f>H16*H13</f>
        <v>2666.1686825731995</v>
      </c>
      <c r="I15" s="251"/>
    </row>
    <row r="16" spans="1:10" s="30" customFormat="1" ht="14.25" x14ac:dyDescent="0.2">
      <c r="A16" s="37" t="s">
        <v>27</v>
      </c>
      <c r="B16" s="43">
        <f>B15/B13</f>
        <v>0.10626286776914393</v>
      </c>
      <c r="C16" s="43">
        <f>C15/C13</f>
        <v>0.17327642810242941</v>
      </c>
      <c r="D16" s="37"/>
      <c r="E16" s="203">
        <f>E15/E13</f>
        <v>0.19121719636027956</v>
      </c>
      <c r="F16" s="202" t="s">
        <v>45</v>
      </c>
      <c r="G16" s="203">
        <f>E16</f>
        <v>0.19121719636027956</v>
      </c>
      <c r="H16" s="204">
        <f>G16</f>
        <v>0.19121719636027956</v>
      </c>
      <c r="I16" s="251"/>
    </row>
    <row r="17" spans="1:9" s="30" customFormat="1" ht="14.25" x14ac:dyDescent="0.2">
      <c r="A17" s="37"/>
      <c r="B17" s="41"/>
      <c r="C17" s="41"/>
      <c r="D17" s="41"/>
      <c r="E17" s="141"/>
      <c r="F17" s="37"/>
      <c r="G17" s="37"/>
      <c r="H17" s="37"/>
      <c r="I17" s="251"/>
    </row>
    <row r="18" spans="1:9" s="30" customFormat="1" ht="14.25" x14ac:dyDescent="0.2">
      <c r="A18" s="37" t="s">
        <v>31</v>
      </c>
      <c r="B18" s="41">
        <f>B2/B55</f>
        <v>0.84672802376983836</v>
      </c>
      <c r="C18" s="41">
        <f>C2/C55</f>
        <v>0.82601532841487002</v>
      </c>
      <c r="D18" s="41"/>
      <c r="E18" s="41">
        <f>E2/E55</f>
        <v>0.70404346905652393</v>
      </c>
      <c r="F18" s="37"/>
      <c r="G18" s="41"/>
      <c r="H18" s="41"/>
      <c r="I18" s="251"/>
    </row>
    <row r="19" spans="1:9" s="30" customFormat="1" ht="14.25" x14ac:dyDescent="0.2">
      <c r="A19" s="37"/>
      <c r="B19" s="40"/>
      <c r="C19" s="40"/>
      <c r="D19" s="37"/>
      <c r="E19" s="37"/>
      <c r="F19" s="37"/>
      <c r="G19" s="37"/>
      <c r="H19" s="37"/>
      <c r="I19" s="251"/>
    </row>
    <row r="20" spans="1:9" s="30" customFormat="1" ht="14.25" x14ac:dyDescent="0.2">
      <c r="A20" s="37" t="s">
        <v>128</v>
      </c>
      <c r="B20" s="41">
        <f>B24/B8</f>
        <v>1.6713444213444213</v>
      </c>
      <c r="C20" s="41">
        <f>C24/C8</f>
        <v>1.5606682467194635</v>
      </c>
      <c r="D20" s="37"/>
      <c r="E20" s="41">
        <f>E24/E8</f>
        <v>1.6303363914373088</v>
      </c>
      <c r="F20" s="140" t="s">
        <v>46</v>
      </c>
      <c r="G20" s="205">
        <f>+E20</f>
        <v>1.6303363914373088</v>
      </c>
      <c r="H20" s="41">
        <f>H24/H8</f>
        <v>1.5983412318151597</v>
      </c>
      <c r="I20" s="251"/>
    </row>
    <row r="21" spans="1:9" s="30" customFormat="1" ht="14.25" x14ac:dyDescent="0.2">
      <c r="A21" s="37" t="s">
        <v>94</v>
      </c>
      <c r="B21" s="41">
        <f>B29/B8</f>
        <v>0.57992607992607992</v>
      </c>
      <c r="C21" s="41">
        <f>C29/C8</f>
        <v>0.57858835770853811</v>
      </c>
      <c r="D21" s="37"/>
      <c r="E21" s="205">
        <f>E29/E8</f>
        <v>0.61724770642201832</v>
      </c>
      <c r="F21" s="202" t="s">
        <v>45</v>
      </c>
      <c r="G21" s="205">
        <f>AVERAGE(B21:E21)</f>
        <v>0.59192071468554552</v>
      </c>
      <c r="H21" s="206">
        <f>G21</f>
        <v>0.59192071468554552</v>
      </c>
      <c r="I21" s="252"/>
    </row>
    <row r="22" spans="1:9" s="30" customFormat="1" ht="14.25" x14ac:dyDescent="0.2">
      <c r="A22" s="37"/>
      <c r="B22" s="37"/>
      <c r="C22" s="37"/>
      <c r="D22" s="37"/>
      <c r="E22" s="37"/>
      <c r="F22" s="37"/>
      <c r="G22" s="37"/>
      <c r="H22" s="37"/>
      <c r="I22" s="161"/>
    </row>
    <row r="23" spans="1:9" s="30" customFormat="1" ht="14.25" x14ac:dyDescent="0.2">
      <c r="A23" s="64" t="s">
        <v>98</v>
      </c>
      <c r="B23" s="41"/>
      <c r="C23" s="41"/>
      <c r="D23" s="37"/>
      <c r="E23" s="37"/>
      <c r="F23" s="37"/>
      <c r="G23" s="37"/>
      <c r="H23" s="37"/>
      <c r="I23" s="159"/>
    </row>
    <row r="24" spans="1:9" s="30" customFormat="1" ht="14.25" x14ac:dyDescent="0.2">
      <c r="A24" s="37" t="s">
        <v>99</v>
      </c>
      <c r="B24" s="40">
        <v>28941</v>
      </c>
      <c r="C24" s="40">
        <v>26998</v>
      </c>
      <c r="D24" s="40">
        <f>C24-B24</f>
        <v>-1943</v>
      </c>
      <c r="E24" s="217">
        <f>25639+1017</f>
        <v>26656</v>
      </c>
      <c r="F24" s="70">
        <f>E24-C24</f>
        <v>-342</v>
      </c>
      <c r="G24" s="40">
        <f>+G20*G8</f>
        <v>26449.633449142748</v>
      </c>
      <c r="H24" s="40">
        <f>H25+H26</f>
        <v>24025.746189314708</v>
      </c>
      <c r="I24" s="217">
        <f>22373+890</f>
        <v>23263</v>
      </c>
    </row>
    <row r="25" spans="1:9" s="30" customFormat="1" ht="14.25" x14ac:dyDescent="0.2">
      <c r="A25" s="37" t="s">
        <v>97</v>
      </c>
      <c r="B25" s="40">
        <v>108</v>
      </c>
      <c r="C25" s="40">
        <v>172</v>
      </c>
      <c r="D25" s="40">
        <f>C25-B25</f>
        <v>64</v>
      </c>
      <c r="E25" s="217">
        <v>1017</v>
      </c>
      <c r="F25" s="70">
        <f>E25-C25</f>
        <v>845</v>
      </c>
      <c r="G25" s="207">
        <f>I25</f>
        <v>890</v>
      </c>
      <c r="H25" s="207">
        <f>I25</f>
        <v>890</v>
      </c>
      <c r="I25" s="217">
        <v>890</v>
      </c>
    </row>
    <row r="26" spans="1:9" s="30" customFormat="1" ht="14.25" x14ac:dyDescent="0.2">
      <c r="A26" s="37" t="s">
        <v>95</v>
      </c>
      <c r="B26" s="40">
        <f>B24-B25</f>
        <v>28833</v>
      </c>
      <c r="C26" s="40">
        <v>26826</v>
      </c>
      <c r="D26" s="40">
        <f>C26-B26</f>
        <v>-2007</v>
      </c>
      <c r="E26" s="40">
        <f>E24-E25</f>
        <v>25639</v>
      </c>
      <c r="F26" s="70">
        <f>E26-C26</f>
        <v>-1187</v>
      </c>
      <c r="G26" s="40">
        <f>G24-G25</f>
        <v>25559.633449142748</v>
      </c>
      <c r="H26" s="154">
        <f>H29*H27</f>
        <v>23135.746189314708</v>
      </c>
      <c r="I26" s="154">
        <f>I24-I25</f>
        <v>22373</v>
      </c>
    </row>
    <row r="27" spans="1:9" s="30" customFormat="1" ht="14.25" x14ac:dyDescent="0.2">
      <c r="A27" s="37" t="s">
        <v>111</v>
      </c>
      <c r="B27" s="142">
        <f>B26/B29</f>
        <v>2.8712407886875124</v>
      </c>
      <c r="C27" s="142">
        <f>C26/C29</f>
        <v>2.6801878309521432</v>
      </c>
      <c r="D27" s="41"/>
      <c r="E27" s="142">
        <f>E26/E29</f>
        <v>2.5405271502179945</v>
      </c>
      <c r="F27" s="37"/>
      <c r="G27" s="142">
        <f>G26/G29</f>
        <v>2.661635911975246</v>
      </c>
      <c r="H27" s="208">
        <f>I27</f>
        <v>2.4886540600667408</v>
      </c>
      <c r="I27" s="208">
        <f>I26/I29</f>
        <v>2.4886540600667408</v>
      </c>
    </row>
    <row r="28" spans="1:9" s="30" customFormat="1" ht="14.25" x14ac:dyDescent="0.2">
      <c r="A28" s="37"/>
      <c r="B28" s="40"/>
      <c r="C28" s="40"/>
      <c r="D28" s="37"/>
      <c r="E28" s="37"/>
      <c r="F28" s="37"/>
      <c r="G28" s="159"/>
      <c r="H28" s="159"/>
      <c r="I28" s="159"/>
    </row>
    <row r="29" spans="1:9" s="30" customFormat="1" ht="14.25" x14ac:dyDescent="0.2">
      <c r="A29" s="37" t="s">
        <v>100</v>
      </c>
      <c r="B29" s="40">
        <f>13799-3757</f>
        <v>10042</v>
      </c>
      <c r="C29" s="40">
        <f>C55-C41</f>
        <v>10009</v>
      </c>
      <c r="D29" s="40">
        <f>C29-B29</f>
        <v>-33</v>
      </c>
      <c r="E29" s="217">
        <v>10092</v>
      </c>
      <c r="F29" s="70">
        <f>E29-C29</f>
        <v>83</v>
      </c>
      <c r="G29" s="154">
        <f>G8*G21</f>
        <v>9602.9788800732331</v>
      </c>
      <c r="H29" s="223">
        <f>+AVERAGE(G29,I29)</f>
        <v>9296.4894400366175</v>
      </c>
      <c r="I29" s="217">
        <v>8990</v>
      </c>
    </row>
    <row r="30" spans="1:9" s="30" customFormat="1" ht="14.25" x14ac:dyDescent="0.2">
      <c r="A30" s="37" t="s">
        <v>101</v>
      </c>
      <c r="B30" s="40">
        <v>7101</v>
      </c>
      <c r="C30" s="40">
        <f>9942-1608-1042-259</f>
        <v>7033</v>
      </c>
      <c r="D30" s="40">
        <f>C30-B30</f>
        <v>-68</v>
      </c>
      <c r="E30" s="217">
        <v>7019</v>
      </c>
      <c r="F30" s="70">
        <f>E30-C30</f>
        <v>-14</v>
      </c>
      <c r="G30" s="154">
        <f>G29*G32</f>
        <v>6731.5905772247079</v>
      </c>
      <c r="H30" s="154">
        <f>H29*H32</f>
        <v>6516.7445953335528</v>
      </c>
      <c r="I30" s="217">
        <v>6301.8986134423967</v>
      </c>
    </row>
    <row r="31" spans="1:9" s="30" customFormat="1" ht="14.25" x14ac:dyDescent="0.2">
      <c r="A31" s="37" t="s">
        <v>102</v>
      </c>
      <c r="B31" s="40">
        <v>2941</v>
      </c>
      <c r="C31" s="40">
        <f>C29-C30</f>
        <v>2976</v>
      </c>
      <c r="D31" s="40">
        <f>C31-B31</f>
        <v>35</v>
      </c>
      <c r="E31" s="217">
        <v>3073</v>
      </c>
      <c r="F31" s="70">
        <f>E31-C31</f>
        <v>97</v>
      </c>
      <c r="G31" s="154">
        <f>G29-G30</f>
        <v>2871.3883028485252</v>
      </c>
      <c r="H31" s="154">
        <f>H29-H30</f>
        <v>2779.7448447030647</v>
      </c>
      <c r="I31" s="217">
        <v>2688.3634910498913</v>
      </c>
    </row>
    <row r="32" spans="1:9" s="30" customFormat="1" ht="14.25" x14ac:dyDescent="0.2">
      <c r="A32" s="37" t="s">
        <v>103</v>
      </c>
      <c r="B32" s="43">
        <f>B30/B29</f>
        <v>0.70713005377414861</v>
      </c>
      <c r="C32" s="43">
        <f>C30/C29</f>
        <v>0.70266759916075527</v>
      </c>
      <c r="D32" s="42"/>
      <c r="E32" s="43">
        <f>E30/E29</f>
        <v>0.69550138723741572</v>
      </c>
      <c r="F32" s="37"/>
      <c r="G32" s="203">
        <f>H32</f>
        <v>0.70098983464320319</v>
      </c>
      <c r="H32" s="203">
        <f>I32</f>
        <v>0.70098983464320319</v>
      </c>
      <c r="I32" s="203">
        <f>I30/I29</f>
        <v>0.70098983464320319</v>
      </c>
    </row>
    <row r="33" spans="1:11" s="30" customFormat="1" ht="14.25" x14ac:dyDescent="0.2">
      <c r="A33" s="37" t="s">
        <v>104</v>
      </c>
      <c r="B33" s="43">
        <f>B31/B29</f>
        <v>0.29286994622585144</v>
      </c>
      <c r="C33" s="43">
        <f>C31/C29</f>
        <v>0.29733240083924467</v>
      </c>
      <c r="D33" s="42"/>
      <c r="E33" s="43">
        <f>E31/E29</f>
        <v>0.30449861276258422</v>
      </c>
      <c r="F33" s="37"/>
      <c r="G33" s="203">
        <f>1-G32</f>
        <v>0.29901016535679681</v>
      </c>
      <c r="H33" s="203">
        <f>1-H32</f>
        <v>0.29901016535679681</v>
      </c>
      <c r="I33" s="203">
        <f>I31/I29</f>
        <v>0.2990393204727354</v>
      </c>
    </row>
    <row r="34" spans="1:11" s="30" customFormat="1" ht="14.25" x14ac:dyDescent="0.2">
      <c r="A34" s="37"/>
      <c r="B34" s="40"/>
      <c r="C34" s="40"/>
      <c r="D34" s="37"/>
      <c r="E34" s="37"/>
      <c r="F34" s="37"/>
      <c r="G34" s="159"/>
      <c r="H34" s="159"/>
      <c r="I34" s="159"/>
    </row>
    <row r="35" spans="1:11" s="30" customFormat="1" ht="14.25" x14ac:dyDescent="0.2">
      <c r="A35" s="64" t="s">
        <v>171</v>
      </c>
      <c r="B35" s="43"/>
      <c r="C35" s="43"/>
      <c r="D35" s="37"/>
      <c r="E35" s="37"/>
      <c r="F35" s="37"/>
      <c r="G35" s="154"/>
      <c r="H35" s="154"/>
      <c r="I35" s="154"/>
    </row>
    <row r="36" spans="1:11" s="30" customFormat="1" ht="14.25" x14ac:dyDescent="0.2">
      <c r="A36" s="37" t="s">
        <v>105</v>
      </c>
      <c r="B36" s="40">
        <v>5752</v>
      </c>
      <c r="C36" s="40">
        <v>6113</v>
      </c>
      <c r="D36" s="40">
        <f>C36-B36</f>
        <v>361</v>
      </c>
      <c r="E36" s="217">
        <f>5949+450</f>
        <v>6399</v>
      </c>
      <c r="F36" s="70">
        <f>E36-C36</f>
        <v>286</v>
      </c>
      <c r="G36" s="210">
        <f>I36</f>
        <v>8528</v>
      </c>
      <c r="H36" s="210">
        <f>I36</f>
        <v>8528</v>
      </c>
      <c r="I36" s="217">
        <f>8017+511</f>
        <v>8528</v>
      </c>
    </row>
    <row r="37" spans="1:11" s="30" customFormat="1" ht="15" x14ac:dyDescent="0.25">
      <c r="A37" s="37" t="s">
        <v>106</v>
      </c>
      <c r="B37" s="43">
        <f>B36/B50</f>
        <v>0.16579713486870551</v>
      </c>
      <c r="C37" s="43">
        <f>C36/C50</f>
        <v>0.1846214249041104</v>
      </c>
      <c r="D37" s="43"/>
      <c r="E37" s="43">
        <f>E36/E50</f>
        <v>0.19358644683103918</v>
      </c>
      <c r="F37" s="43"/>
      <c r="G37" s="195">
        <f>G36/G50</f>
        <v>0.23593320401988044</v>
      </c>
      <c r="H37" s="195">
        <f>H36/H50</f>
        <v>0.25973581488940406</v>
      </c>
      <c r="I37" s="195">
        <f>I36/I50</f>
        <v>0.26825202101223616</v>
      </c>
      <c r="K37" s="68"/>
    </row>
    <row r="38" spans="1:11" s="30" customFormat="1" ht="14.25" x14ac:dyDescent="0.2">
      <c r="A38" s="37" t="s">
        <v>107</v>
      </c>
      <c r="B38" s="70">
        <v>440</v>
      </c>
      <c r="C38" s="70">
        <v>474</v>
      </c>
      <c r="D38" s="40">
        <f>C38-B38</f>
        <v>34</v>
      </c>
      <c r="E38" s="217">
        <v>450</v>
      </c>
      <c r="F38" s="70">
        <f>E38-C38</f>
        <v>-24</v>
      </c>
      <c r="G38" s="154">
        <f>I38</f>
        <v>511</v>
      </c>
      <c r="H38" s="154">
        <f>I38</f>
        <v>511</v>
      </c>
      <c r="I38" s="217">
        <v>511</v>
      </c>
    </row>
    <row r="39" spans="1:11" s="30" customFormat="1" ht="14.25" x14ac:dyDescent="0.2">
      <c r="A39" s="37" t="s">
        <v>108</v>
      </c>
      <c r="B39" s="40">
        <f>B36-B38</f>
        <v>5312</v>
      </c>
      <c r="C39" s="40">
        <f>C36-C38</f>
        <v>5639</v>
      </c>
      <c r="D39" s="40">
        <f>C39-B39</f>
        <v>327</v>
      </c>
      <c r="E39" s="40">
        <f>E36-E38</f>
        <v>5949</v>
      </c>
      <c r="F39" s="70">
        <f>E39-C39</f>
        <v>310</v>
      </c>
      <c r="G39" s="154">
        <f>G36-G38</f>
        <v>8017</v>
      </c>
      <c r="H39" s="154">
        <f>H36-H38</f>
        <v>8017</v>
      </c>
      <c r="I39" s="154">
        <f>I36-I38</f>
        <v>8017</v>
      </c>
    </row>
    <row r="40" spans="1:11" s="30" customFormat="1" ht="14.25" x14ac:dyDescent="0.2">
      <c r="A40" s="37"/>
      <c r="B40" s="40"/>
      <c r="C40" s="40"/>
      <c r="D40" s="40"/>
      <c r="E40" s="40"/>
      <c r="F40" s="70"/>
      <c r="G40" s="154"/>
      <c r="H40" s="154"/>
      <c r="I40" s="154"/>
    </row>
    <row r="41" spans="1:11" s="30" customFormat="1" ht="14.25" x14ac:dyDescent="0.2">
      <c r="A41" s="37" t="s">
        <v>109</v>
      </c>
      <c r="B41" s="40">
        <v>3757</v>
      </c>
      <c r="C41" s="40">
        <v>3952</v>
      </c>
      <c r="D41" s="40">
        <f>C41-B41</f>
        <v>195</v>
      </c>
      <c r="E41" s="217">
        <v>4079</v>
      </c>
      <c r="F41" s="70">
        <f>E41-C41</f>
        <v>127</v>
      </c>
      <c r="G41" s="207">
        <f>G39/G43</f>
        <v>5416</v>
      </c>
      <c r="H41" s="207">
        <f>H39/H43</f>
        <v>5416</v>
      </c>
      <c r="I41" s="217">
        <v>5416</v>
      </c>
    </row>
    <row r="42" spans="1:11" s="30" customFormat="1" ht="15" x14ac:dyDescent="0.25">
      <c r="A42" s="37" t="s">
        <v>110</v>
      </c>
      <c r="B42" s="43">
        <f>B41/B55</f>
        <v>0.27226610623958258</v>
      </c>
      <c r="C42" s="43">
        <f>C41/C55</f>
        <v>0.2830742783468233</v>
      </c>
      <c r="D42" s="42"/>
      <c r="E42" s="43">
        <f>E41/E55</f>
        <v>0.28784136617034789</v>
      </c>
      <c r="F42" s="37"/>
      <c r="G42" s="43">
        <f>G41/G55</f>
        <v>0.36061040122946036</v>
      </c>
      <c r="H42" s="43">
        <f>H41/H55</f>
        <v>0.36812260916644168</v>
      </c>
      <c r="I42" s="195">
        <f>I41/I55</f>
        <v>0.37595446341802025</v>
      </c>
      <c r="K42" s="68"/>
    </row>
    <row r="43" spans="1:11" s="30" customFormat="1" ht="14.25" x14ac:dyDescent="0.2">
      <c r="A43" s="37" t="s">
        <v>112</v>
      </c>
      <c r="B43" s="142">
        <f>B39/B41</f>
        <v>1.4138940644130955</v>
      </c>
      <c r="C43" s="142">
        <f>C39/C41</f>
        <v>1.4268724696356276</v>
      </c>
      <c r="D43" s="37"/>
      <c r="E43" s="142">
        <f>E39/E41</f>
        <v>1.4584456974748712</v>
      </c>
      <c r="F43" s="37"/>
      <c r="G43" s="209">
        <f>H43</f>
        <v>1.4802437223042837</v>
      </c>
      <c r="H43" s="209">
        <f>I43</f>
        <v>1.4802437223042837</v>
      </c>
      <c r="I43" s="209">
        <f>I39/I41</f>
        <v>1.4802437223042837</v>
      </c>
    </row>
    <row r="44" spans="1:11" s="30" customFormat="1" ht="14.25" x14ac:dyDescent="0.2">
      <c r="A44" s="37"/>
      <c r="B44" s="142"/>
      <c r="C44" s="142"/>
      <c r="D44" s="42"/>
      <c r="E44" s="42"/>
      <c r="F44" s="37"/>
      <c r="G44" s="37"/>
      <c r="H44" s="37"/>
      <c r="I44" s="37"/>
    </row>
    <row r="45" spans="1:11" s="30" customFormat="1" ht="14.25" x14ac:dyDescent="0.2">
      <c r="A45" s="37" t="s">
        <v>113</v>
      </c>
      <c r="B45" s="40">
        <v>2597</v>
      </c>
      <c r="C45" s="40">
        <v>2909</v>
      </c>
      <c r="D45" s="40">
        <f>C45-B45</f>
        <v>312</v>
      </c>
      <c r="E45" s="217">
        <v>3052</v>
      </c>
      <c r="F45" s="70">
        <f>E45-C45</f>
        <v>143</v>
      </c>
      <c r="G45" s="207">
        <f>G47*G41</f>
        <v>4090.3997734303152</v>
      </c>
      <c r="H45" s="207">
        <f>H47*H41</f>
        <v>4090.3997734303152</v>
      </c>
      <c r="I45" s="217">
        <v>4090.3997734303157</v>
      </c>
    </row>
    <row r="46" spans="1:11" s="30" customFormat="1" ht="14.25" x14ac:dyDescent="0.2">
      <c r="A46" s="37" t="s">
        <v>114</v>
      </c>
      <c r="B46" s="40">
        <v>1160</v>
      </c>
      <c r="C46" s="40">
        <v>1043</v>
      </c>
      <c r="D46" s="40">
        <f>C46-B46</f>
        <v>-117</v>
      </c>
      <c r="E46" s="217">
        <v>1027</v>
      </c>
      <c r="F46" s="70">
        <f>E46-C46</f>
        <v>-16</v>
      </c>
      <c r="G46" s="40">
        <f>G41-G45</f>
        <v>1325.6002265696848</v>
      </c>
      <c r="H46" s="40">
        <f>H41-H45</f>
        <v>1325.6002265696848</v>
      </c>
      <c r="I46" s="217">
        <v>1325.9868082799351</v>
      </c>
    </row>
    <row r="47" spans="1:11" s="30" customFormat="1" ht="14.25" x14ac:dyDescent="0.2">
      <c r="A47" s="37" t="s">
        <v>115</v>
      </c>
      <c r="B47" s="43">
        <f>B45/B41</f>
        <v>0.69124301304232105</v>
      </c>
      <c r="C47" s="43">
        <f>C45/C41</f>
        <v>0.73608299595141702</v>
      </c>
      <c r="D47" s="37"/>
      <c r="E47" s="43">
        <f>E45/E41</f>
        <v>0.7482226035793087</v>
      </c>
      <c r="F47" s="37"/>
      <c r="G47" s="211">
        <f>H47</f>
        <v>0.75524368047088541</v>
      </c>
      <c r="H47" s="211">
        <f>I47</f>
        <v>0.75524368047088541</v>
      </c>
      <c r="I47" s="211">
        <f>I45/I41</f>
        <v>0.75524368047088541</v>
      </c>
    </row>
    <row r="48" spans="1:11" s="30" customFormat="1" ht="14.25" x14ac:dyDescent="0.2">
      <c r="A48" s="37" t="s">
        <v>116</v>
      </c>
      <c r="B48" s="43">
        <f>1-B47</f>
        <v>0.30875698695767895</v>
      </c>
      <c r="C48" s="43">
        <f>1-C47</f>
        <v>0.26391700404858298</v>
      </c>
      <c r="D48" s="37"/>
      <c r="E48" s="43">
        <f>1-E47</f>
        <v>0.2517773964206913</v>
      </c>
      <c r="F48" s="37"/>
      <c r="G48" s="211">
        <f>1-G47</f>
        <v>0.24475631952911459</v>
      </c>
      <c r="H48" s="211">
        <f>1-H47</f>
        <v>0.24475631952911459</v>
      </c>
      <c r="I48" s="211">
        <f>1-I47</f>
        <v>0.24475631952911459</v>
      </c>
    </row>
    <row r="49" spans="1:9" s="30" customFormat="1" ht="14.25" x14ac:dyDescent="0.2">
      <c r="A49" s="37"/>
      <c r="B49" s="43"/>
      <c r="C49" s="43"/>
      <c r="D49" s="37"/>
      <c r="E49" s="37"/>
      <c r="F49" s="37"/>
      <c r="G49" s="37"/>
      <c r="H49" s="37"/>
      <c r="I49" s="37"/>
    </row>
    <row r="50" spans="1:9" s="30" customFormat="1" ht="14.25" x14ac:dyDescent="0.2">
      <c r="A50" s="64" t="s">
        <v>129</v>
      </c>
      <c r="B50" s="40">
        <f>B24+B36</f>
        <v>34693</v>
      </c>
      <c r="C50" s="40">
        <f>C24+C36</f>
        <v>33111</v>
      </c>
      <c r="D50" s="40">
        <f>C50-B50</f>
        <v>-1582</v>
      </c>
      <c r="E50" s="40">
        <f>E24+E36</f>
        <v>33055</v>
      </c>
      <c r="F50" s="70">
        <f>E50-C50</f>
        <v>-56</v>
      </c>
      <c r="G50" s="40">
        <f>I50/I24*G24</f>
        <v>36145.823710686374</v>
      </c>
      <c r="H50" s="40">
        <f>I50/I24*H24</f>
        <v>32833.361866676867</v>
      </c>
      <c r="I50" s="40">
        <f>I24+I36</f>
        <v>31791</v>
      </c>
    </row>
    <row r="51" spans="1:9" s="30" customFormat="1" ht="14.25" x14ac:dyDescent="0.2">
      <c r="A51" s="37" t="s">
        <v>96</v>
      </c>
      <c r="B51" s="40">
        <f>B25+B38</f>
        <v>548</v>
      </c>
      <c r="C51" s="40">
        <f>C25+C38</f>
        <v>646</v>
      </c>
      <c r="D51" s="40">
        <f>C51-B51</f>
        <v>98</v>
      </c>
      <c r="E51" s="40">
        <f>E25+E38</f>
        <v>1467</v>
      </c>
      <c r="F51" s="70">
        <f>E51-C51</f>
        <v>821</v>
      </c>
      <c r="G51" s="212">
        <f>G25+G38</f>
        <v>1401</v>
      </c>
      <c r="H51" s="212">
        <f>H25+H38</f>
        <v>1401</v>
      </c>
      <c r="I51" s="212">
        <f>I25+I38</f>
        <v>1401</v>
      </c>
    </row>
    <row r="52" spans="1:9" s="30" customFormat="1" ht="14.25" x14ac:dyDescent="0.2">
      <c r="A52" s="37" t="s">
        <v>95</v>
      </c>
      <c r="B52" s="40">
        <f>B50-B51</f>
        <v>34145</v>
      </c>
      <c r="C52" s="40">
        <f>C50-C51</f>
        <v>32465</v>
      </c>
      <c r="D52" s="40">
        <f>C52-B52</f>
        <v>-1680</v>
      </c>
      <c r="E52" s="40">
        <f>E50-E51</f>
        <v>31588</v>
      </c>
      <c r="F52" s="70">
        <f>E52-C52</f>
        <v>-877</v>
      </c>
      <c r="G52" s="40">
        <f>G50-G51</f>
        <v>34744.823710686374</v>
      </c>
      <c r="H52" s="40">
        <f>H50-H51</f>
        <v>31432.361866676867</v>
      </c>
      <c r="I52" s="40">
        <f>I50-I51</f>
        <v>30390</v>
      </c>
    </row>
    <row r="53" spans="1:9" s="30" customFormat="1" ht="14.25" x14ac:dyDescent="0.2">
      <c r="A53" s="37" t="s">
        <v>126</v>
      </c>
      <c r="B53" s="142">
        <f>B52/B55</f>
        <v>2.4744546706283064</v>
      </c>
      <c r="C53" s="142">
        <f>C52/C55</f>
        <v>2.3254064895064825</v>
      </c>
      <c r="D53" s="37"/>
      <c r="E53" s="142">
        <f>E52/E55</f>
        <v>2.2290593465528192</v>
      </c>
      <c r="F53" s="37"/>
      <c r="G53" s="142">
        <f>G52/G55</f>
        <v>2.3133945382122381</v>
      </c>
      <c r="H53" s="142">
        <f>H52/H55</f>
        <v>2.1364407427298473</v>
      </c>
      <c r="I53" s="142">
        <f>I52/I55</f>
        <v>2.1095376926280718</v>
      </c>
    </row>
    <row r="54" spans="1:9" s="30" customFormat="1" ht="14.25" x14ac:dyDescent="0.2">
      <c r="A54" s="37"/>
      <c r="B54" s="43"/>
      <c r="C54" s="43"/>
      <c r="D54" s="37"/>
      <c r="E54" s="37"/>
      <c r="F54" s="37"/>
      <c r="G54" s="37"/>
      <c r="H54" s="37"/>
      <c r="I54" s="37"/>
    </row>
    <row r="55" spans="1:9" s="30" customFormat="1" ht="14.25" x14ac:dyDescent="0.2">
      <c r="A55" s="64" t="s">
        <v>58</v>
      </c>
      <c r="B55" s="40">
        <v>13799</v>
      </c>
      <c r="C55" s="40">
        <v>13961</v>
      </c>
      <c r="D55" s="40">
        <f>C55-B55</f>
        <v>162</v>
      </c>
      <c r="E55" s="40">
        <f>E29+E41</f>
        <v>14171</v>
      </c>
      <c r="F55" s="70">
        <f>E55-C55</f>
        <v>210</v>
      </c>
      <c r="G55" s="40">
        <f>G29+G41</f>
        <v>15018.978880073233</v>
      </c>
      <c r="H55" s="40">
        <f>H29+H41</f>
        <v>14712.489440036617</v>
      </c>
      <c r="I55" s="40">
        <f>I29+I41</f>
        <v>14406</v>
      </c>
    </row>
    <row r="56" spans="1:9" s="30" customFormat="1" ht="14.25" x14ac:dyDescent="0.2">
      <c r="A56" s="37" t="s">
        <v>101</v>
      </c>
      <c r="B56" s="40">
        <v>9698</v>
      </c>
      <c r="C56" s="40">
        <v>9942</v>
      </c>
      <c r="D56" s="40">
        <f>C56-B56</f>
        <v>244</v>
      </c>
      <c r="E56" s="40">
        <f>E30+E45</f>
        <v>10071</v>
      </c>
      <c r="F56" s="70">
        <f>E56-C56</f>
        <v>129</v>
      </c>
      <c r="G56" s="40">
        <f>G30+G45</f>
        <v>10821.990350655024</v>
      </c>
      <c r="H56" s="40">
        <f>H30+H45</f>
        <v>10607.144368763868</v>
      </c>
      <c r="I56" s="40">
        <f>I30+I45</f>
        <v>10392.298386872713</v>
      </c>
    </row>
    <row r="57" spans="1:9" s="30" customFormat="1" ht="14.25" x14ac:dyDescent="0.2">
      <c r="A57" s="37" t="s">
        <v>102</v>
      </c>
      <c r="B57" s="40">
        <v>4101</v>
      </c>
      <c r="C57" s="40">
        <v>4019</v>
      </c>
      <c r="D57" s="40">
        <f>C57-B57</f>
        <v>-82</v>
      </c>
      <c r="E57" s="40">
        <f>E31+E46</f>
        <v>4100</v>
      </c>
      <c r="F57" s="70">
        <f>E57-C57</f>
        <v>81</v>
      </c>
      <c r="G57" s="40">
        <f>G31+G46</f>
        <v>4196.9885294182095</v>
      </c>
      <c r="H57" s="40">
        <f>H31+H46</f>
        <v>4105.3450712727499</v>
      </c>
      <c r="I57" s="40">
        <f>I55-I56</f>
        <v>4013.7016131272867</v>
      </c>
    </row>
    <row r="58" spans="1:9" s="30" customFormat="1" ht="14.25" x14ac:dyDescent="0.2">
      <c r="A58" s="37" t="s">
        <v>103</v>
      </c>
      <c r="B58" s="43">
        <f>B56/B55</f>
        <v>0.70280455105442419</v>
      </c>
      <c r="C58" s="43">
        <f>C56/C55</f>
        <v>0.71212663849294466</v>
      </c>
      <c r="D58" s="37"/>
      <c r="E58" s="43">
        <f>E56/E55</f>
        <v>0.71067673417542865</v>
      </c>
      <c r="F58" s="37"/>
      <c r="G58" s="43">
        <f>G56/G55</f>
        <v>0.72055433575536498</v>
      </c>
      <c r="H58" s="43">
        <f>H56/H55</f>
        <v>0.72096190192660337</v>
      </c>
      <c r="I58" s="43">
        <f>I56/I55</f>
        <v>0.72138681013971351</v>
      </c>
    </row>
    <row r="59" spans="1:9" s="30" customFormat="1" ht="14.25" x14ac:dyDescent="0.2">
      <c r="A59" s="37" t="s">
        <v>104</v>
      </c>
      <c r="B59" s="43">
        <f>B57/B55</f>
        <v>0.29719544894557576</v>
      </c>
      <c r="C59" s="43">
        <f>C57/C55</f>
        <v>0.28787336150705539</v>
      </c>
      <c r="D59" s="37"/>
      <c r="E59" s="43">
        <f>E57/E55</f>
        <v>0.2893232658245713</v>
      </c>
      <c r="F59" s="37"/>
      <c r="G59" s="43">
        <f>1-G58</f>
        <v>0.27944566424463502</v>
      </c>
      <c r="H59" s="43">
        <f>1-H58</f>
        <v>0.27903809807339663</v>
      </c>
      <c r="I59" s="43">
        <f>1-I58</f>
        <v>0.27861318986028649</v>
      </c>
    </row>
    <row r="60" spans="1:9" s="30" customFormat="1" ht="15.75" x14ac:dyDescent="0.2">
      <c r="A60" s="213"/>
      <c r="B60" s="213"/>
      <c r="C60" s="213"/>
      <c r="D60" s="214"/>
      <c r="E60" s="215"/>
      <c r="F60" s="214"/>
      <c r="G60" s="215"/>
      <c r="H60" s="215"/>
      <c r="I60" s="216"/>
    </row>
    <row r="61" spans="1:9" s="30" customFormat="1" ht="14.25" x14ac:dyDescent="0.2">
      <c r="A61" s="64" t="s">
        <v>93</v>
      </c>
      <c r="B61" s="40"/>
      <c r="C61" s="40"/>
      <c r="D61" s="40"/>
      <c r="E61" s="40"/>
      <c r="F61" s="37"/>
      <c r="G61" s="40"/>
      <c r="H61" s="40"/>
      <c r="I61" s="40"/>
    </row>
    <row r="62" spans="1:9" s="30" customFormat="1" ht="14.25" x14ac:dyDescent="0.2">
      <c r="A62" s="37" t="s">
        <v>1</v>
      </c>
      <c r="B62" s="40">
        <v>214</v>
      </c>
      <c r="C62" s="40">
        <v>271</v>
      </c>
      <c r="D62" s="40">
        <f t="shared" ref="D62:D68" si="0">C62-B62</f>
        <v>57</v>
      </c>
      <c r="E62" s="40">
        <v>400</v>
      </c>
      <c r="F62" s="40">
        <f>+E62-C62</f>
        <v>129</v>
      </c>
      <c r="G62" s="40">
        <f t="shared" ref="G62:I63" si="1">G56/(1-G70)-G56</f>
        <v>109.31303384500097</v>
      </c>
      <c r="H62" s="40">
        <f t="shared" si="1"/>
        <v>107.14287241175589</v>
      </c>
      <c r="I62" s="40">
        <f t="shared" si="1"/>
        <v>104.97271097851262</v>
      </c>
    </row>
    <row r="63" spans="1:9" s="30" customFormat="1" ht="14.25" x14ac:dyDescent="0.2">
      <c r="A63" s="37" t="s">
        <v>2</v>
      </c>
      <c r="B63" s="40">
        <v>480</v>
      </c>
      <c r="C63" s="40">
        <v>505</v>
      </c>
      <c r="D63" s="40">
        <f t="shared" si="0"/>
        <v>25</v>
      </c>
      <c r="E63" s="40">
        <v>599</v>
      </c>
      <c r="F63" s="40">
        <f t="shared" ref="F63:F68" si="2">+E63-C63</f>
        <v>94</v>
      </c>
      <c r="G63" s="40">
        <f t="shared" si="1"/>
        <v>174.87452205909267</v>
      </c>
      <c r="H63" s="40">
        <f t="shared" si="1"/>
        <v>171.05604463636519</v>
      </c>
      <c r="I63" s="40">
        <f t="shared" si="1"/>
        <v>167.23756721363679</v>
      </c>
    </row>
    <row r="64" spans="1:9" s="30" customFormat="1" ht="14.25" x14ac:dyDescent="0.2">
      <c r="A64" s="37" t="s">
        <v>8</v>
      </c>
      <c r="B64" s="40">
        <v>142</v>
      </c>
      <c r="C64" s="40">
        <v>114</v>
      </c>
      <c r="D64" s="40">
        <f t="shared" si="0"/>
        <v>-28</v>
      </c>
      <c r="E64" s="139">
        <v>106</v>
      </c>
      <c r="F64" s="40">
        <f t="shared" si="2"/>
        <v>-8</v>
      </c>
      <c r="G64" s="140" t="s">
        <v>32</v>
      </c>
      <c r="H64" s="40"/>
      <c r="I64" s="40"/>
    </row>
    <row r="65" spans="1:12" s="30" customFormat="1" ht="14.25" x14ac:dyDescent="0.2">
      <c r="A65" s="37" t="s">
        <v>10</v>
      </c>
      <c r="B65" s="40">
        <v>3613</v>
      </c>
      <c r="C65" s="40">
        <v>4203</v>
      </c>
      <c r="D65" s="40">
        <f t="shared" si="0"/>
        <v>590</v>
      </c>
      <c r="E65" s="139">
        <v>5488</v>
      </c>
      <c r="F65" s="40">
        <f t="shared" si="2"/>
        <v>1285</v>
      </c>
      <c r="G65" s="140" t="s">
        <v>32</v>
      </c>
      <c r="H65" s="40"/>
      <c r="I65" s="40"/>
    </row>
    <row r="66" spans="1:12" s="30" customFormat="1" ht="14.25" x14ac:dyDescent="0.2">
      <c r="A66" s="37" t="s">
        <v>7</v>
      </c>
      <c r="B66" s="40">
        <v>464</v>
      </c>
      <c r="C66" s="40">
        <v>569</v>
      </c>
      <c r="D66" s="40">
        <f t="shared" si="0"/>
        <v>105</v>
      </c>
      <c r="E66" s="139">
        <v>554</v>
      </c>
      <c r="F66" s="40">
        <f t="shared" si="2"/>
        <v>-15</v>
      </c>
      <c r="G66" s="140" t="s">
        <v>32</v>
      </c>
      <c r="H66" s="40"/>
      <c r="I66" s="40"/>
    </row>
    <row r="67" spans="1:12" s="30" customFormat="1" ht="14.25" x14ac:dyDescent="0.2">
      <c r="A67" s="37" t="s">
        <v>11</v>
      </c>
      <c r="B67" s="40">
        <f>SUM(B62:B66)</f>
        <v>4913</v>
      </c>
      <c r="C67" s="40">
        <f>SUM(C62:C66)</f>
        <v>5662</v>
      </c>
      <c r="D67" s="40">
        <f t="shared" si="0"/>
        <v>749</v>
      </c>
      <c r="E67" s="139">
        <v>7150</v>
      </c>
      <c r="F67" s="40">
        <f t="shared" si="2"/>
        <v>1488</v>
      </c>
      <c r="G67" s="140" t="s">
        <v>32</v>
      </c>
      <c r="H67" s="40"/>
      <c r="I67" s="40"/>
    </row>
    <row r="68" spans="1:12" s="30" customFormat="1" ht="14.25" x14ac:dyDescent="0.2">
      <c r="A68" s="37" t="s">
        <v>9</v>
      </c>
      <c r="B68" s="40">
        <v>18712</v>
      </c>
      <c r="C68" s="40">
        <v>19623</v>
      </c>
      <c r="D68" s="40">
        <f t="shared" si="0"/>
        <v>911</v>
      </c>
      <c r="E68" s="139">
        <v>21321</v>
      </c>
      <c r="F68" s="40">
        <f t="shared" si="2"/>
        <v>1698</v>
      </c>
      <c r="G68" s="140" t="s">
        <v>32</v>
      </c>
      <c r="H68" s="40"/>
      <c r="I68" s="40"/>
    </row>
    <row r="69" spans="1:12" s="30" customFormat="1" ht="14.25" x14ac:dyDescent="0.2">
      <c r="A69" s="37"/>
      <c r="B69" s="174"/>
      <c r="C69" s="174"/>
      <c r="D69" s="37"/>
      <c r="E69" s="42"/>
      <c r="F69" s="37"/>
      <c r="G69" s="43"/>
      <c r="H69" s="43"/>
      <c r="I69" s="43"/>
    </row>
    <row r="70" spans="1:12" s="30" customFormat="1" ht="14.25" x14ac:dyDescent="0.2">
      <c r="A70" s="37" t="s">
        <v>4</v>
      </c>
      <c r="B70" s="43">
        <f>B62/B81</f>
        <v>2.158999192897498E-2</v>
      </c>
      <c r="C70" s="43">
        <f>C62/C81</f>
        <v>2.6534808577303438E-2</v>
      </c>
      <c r="D70" s="42"/>
      <c r="E70" s="43">
        <f>E62/E81</f>
        <v>3.8200744914525832E-2</v>
      </c>
      <c r="F70" s="37"/>
      <c r="G70" s="218">
        <v>0.01</v>
      </c>
      <c r="H70" s="43">
        <f>G70</f>
        <v>0.01</v>
      </c>
      <c r="I70" s="43">
        <f>H70</f>
        <v>0.01</v>
      </c>
    </row>
    <row r="71" spans="1:12" s="30" customFormat="1" ht="14.25" x14ac:dyDescent="0.2">
      <c r="A71" s="37" t="s">
        <v>3</v>
      </c>
      <c r="B71" s="43">
        <f>B63/B82</f>
        <v>0.10478061558611657</v>
      </c>
      <c r="C71" s="43">
        <f>C63/C82</f>
        <v>0.11162687886825817</v>
      </c>
      <c r="D71" s="42"/>
      <c r="E71" s="43">
        <f>E63/E82</f>
        <v>0.12747393062353693</v>
      </c>
      <c r="F71" s="37"/>
      <c r="G71" s="218">
        <v>0.04</v>
      </c>
      <c r="H71" s="43">
        <f>G71</f>
        <v>0.04</v>
      </c>
      <c r="I71" s="43">
        <f>H71</f>
        <v>0.04</v>
      </c>
      <c r="J71" s="4" t="s">
        <v>130</v>
      </c>
    </row>
    <row r="72" spans="1:12" s="30" customFormat="1" ht="14.25" x14ac:dyDescent="0.2">
      <c r="A72" s="37" t="s">
        <v>5</v>
      </c>
      <c r="B72" s="43">
        <f>(B62+B63)/B83</f>
        <v>4.788518595183882E-2</v>
      </c>
      <c r="C72" s="43">
        <f>(C62+C63)/C83</f>
        <v>5.2656578679514149E-2</v>
      </c>
      <c r="D72" s="42"/>
      <c r="E72" s="43">
        <f>(E62+E63)/E83</f>
        <v>6.5853658536585369E-2</v>
      </c>
      <c r="F72" s="37"/>
      <c r="G72" s="43">
        <f>(G62+G63)/G83</f>
        <v>1.8474560342079352E-2</v>
      </c>
      <c r="H72" s="43">
        <f>(H62+H63)/H83</f>
        <v>1.8460244391252115E-2</v>
      </c>
      <c r="I72" s="43">
        <f>(I62+I63)/I83</f>
        <v>1.8445322190809969E-2</v>
      </c>
    </row>
    <row r="73" spans="1:12" s="30" customFormat="1" ht="14.25" x14ac:dyDescent="0.2">
      <c r="A73" s="37"/>
      <c r="B73" s="43"/>
      <c r="C73" s="43"/>
      <c r="D73" s="42"/>
      <c r="E73" s="42"/>
      <c r="F73" s="37"/>
      <c r="G73" s="37"/>
      <c r="H73" s="37"/>
      <c r="I73" s="37"/>
    </row>
    <row r="74" spans="1:12" s="30" customFormat="1" ht="14.25" x14ac:dyDescent="0.2">
      <c r="A74" s="37"/>
      <c r="B74" s="43"/>
      <c r="C74" s="43"/>
      <c r="D74" s="42"/>
      <c r="E74" s="42"/>
      <c r="F74" s="37"/>
      <c r="G74" s="37"/>
      <c r="H74" s="37"/>
      <c r="I74" s="37"/>
    </row>
    <row r="75" spans="1:12" s="30" customFormat="1" ht="14.25" x14ac:dyDescent="0.2">
      <c r="A75" s="37" t="s">
        <v>38</v>
      </c>
      <c r="B75" s="43"/>
      <c r="C75" s="43"/>
      <c r="D75" s="42"/>
      <c r="E75" s="42"/>
      <c r="F75" s="37"/>
      <c r="G75" s="154">
        <f>0.0005*8*E81</f>
        <v>41.884</v>
      </c>
      <c r="H75" s="154">
        <f>G75</f>
        <v>41.884</v>
      </c>
      <c r="I75" s="154">
        <f>H75</f>
        <v>41.884</v>
      </c>
    </row>
    <row r="76" spans="1:12" s="30" customFormat="1" ht="14.25" x14ac:dyDescent="0.2">
      <c r="A76" s="37" t="s">
        <v>39</v>
      </c>
      <c r="B76" s="43"/>
      <c r="C76" s="43"/>
      <c r="D76" s="42"/>
      <c r="E76" s="42"/>
      <c r="F76" s="37"/>
      <c r="G76" s="154">
        <f>0.001*8*E82</f>
        <v>37.591999999999999</v>
      </c>
      <c r="H76" s="154">
        <f>G76</f>
        <v>37.591999999999999</v>
      </c>
      <c r="I76" s="154">
        <f>H76</f>
        <v>37.591999999999999</v>
      </c>
    </row>
    <row r="77" spans="1:12" s="30" customFormat="1" ht="14.25" x14ac:dyDescent="0.2">
      <c r="A77" s="37" t="s">
        <v>47</v>
      </c>
      <c r="B77" s="43"/>
      <c r="C77" s="43"/>
      <c r="D77" s="42"/>
      <c r="E77" s="42"/>
      <c r="F77" s="37"/>
      <c r="G77" s="154">
        <f>G75+G76</f>
        <v>79.475999999999999</v>
      </c>
      <c r="H77" s="154">
        <f>H75+H76</f>
        <v>79.475999999999999</v>
      </c>
      <c r="I77" s="154">
        <f>I75+I76</f>
        <v>79.475999999999999</v>
      </c>
    </row>
    <row r="78" spans="1:12" x14ac:dyDescent="0.2">
      <c r="A78" s="31"/>
      <c r="B78" s="38"/>
      <c r="C78" s="38"/>
      <c r="D78" s="44"/>
      <c r="E78" s="44"/>
      <c r="F78" s="31"/>
      <c r="G78" s="45"/>
      <c r="H78" s="45"/>
      <c r="I78" s="45"/>
    </row>
    <row r="79" spans="1:12" ht="15" x14ac:dyDescent="0.25">
      <c r="A79" s="31"/>
      <c r="B79" s="38"/>
      <c r="C79" s="38"/>
      <c r="D79" s="44"/>
      <c r="E79" s="44"/>
      <c r="F79" s="33"/>
      <c r="G79" s="46">
        <v>2020</v>
      </c>
      <c r="H79" s="22">
        <v>2020</v>
      </c>
      <c r="I79" s="47">
        <v>2020</v>
      </c>
      <c r="J79" s="8"/>
      <c r="K79" s="9"/>
      <c r="L79" s="8"/>
    </row>
    <row r="80" spans="1:12" ht="26.25" x14ac:dyDescent="0.25">
      <c r="A80" s="48" t="s">
        <v>64</v>
      </c>
      <c r="B80" s="48">
        <v>1990</v>
      </c>
      <c r="C80" s="48">
        <v>2000</v>
      </c>
      <c r="D80" s="29" t="s">
        <v>117</v>
      </c>
      <c r="E80" s="48">
        <v>2010</v>
      </c>
      <c r="F80" s="49" t="s">
        <v>44</v>
      </c>
      <c r="G80" s="50" t="s">
        <v>35</v>
      </c>
      <c r="H80" s="51" t="s">
        <v>36</v>
      </c>
      <c r="I80" s="50" t="s">
        <v>37</v>
      </c>
      <c r="J80" s="8"/>
      <c r="K80" s="9"/>
      <c r="L80" s="8"/>
    </row>
    <row r="81" spans="1:13" ht="15" x14ac:dyDescent="0.25">
      <c r="A81" s="31" t="s">
        <v>13</v>
      </c>
      <c r="B81" s="32">
        <f>B56+B62</f>
        <v>9912</v>
      </c>
      <c r="C81" s="32">
        <f>C56+C62</f>
        <v>10213</v>
      </c>
      <c r="D81" s="32">
        <f>C81-B81</f>
        <v>301</v>
      </c>
      <c r="E81" s="32">
        <f>E56+E62</f>
        <v>10471</v>
      </c>
      <c r="F81" s="52" t="s">
        <v>41</v>
      </c>
      <c r="G81" s="53">
        <f t="shared" ref="G81:I82" si="3">G56+G62+G75</f>
        <v>10973.187384500025</v>
      </c>
      <c r="H81" s="53">
        <f t="shared" si="3"/>
        <v>10756.171241175623</v>
      </c>
      <c r="I81" s="53">
        <f t="shared" si="3"/>
        <v>10539.155097851226</v>
      </c>
      <c r="J81" s="8"/>
      <c r="K81" s="9"/>
      <c r="L81" s="8"/>
    </row>
    <row r="82" spans="1:13" ht="15" x14ac:dyDescent="0.25">
      <c r="A82" s="31" t="s">
        <v>14</v>
      </c>
      <c r="B82" s="32">
        <f>B57+B63</f>
        <v>4581</v>
      </c>
      <c r="C82" s="32">
        <f>C57+C63</f>
        <v>4524</v>
      </c>
      <c r="D82" s="32">
        <f>C82-B82</f>
        <v>-57</v>
      </c>
      <c r="E82" s="32">
        <f>E57+E63</f>
        <v>4699</v>
      </c>
      <c r="F82" s="52" t="s">
        <v>43</v>
      </c>
      <c r="G82" s="53">
        <f t="shared" si="3"/>
        <v>4409.4550514773018</v>
      </c>
      <c r="H82" s="53">
        <f t="shared" si="3"/>
        <v>4313.9931159091147</v>
      </c>
      <c r="I82" s="53">
        <f t="shared" si="3"/>
        <v>4218.5311803409231</v>
      </c>
      <c r="J82" s="5"/>
      <c r="K82" s="5"/>
      <c r="L82" s="5"/>
    </row>
    <row r="83" spans="1:13" ht="15" x14ac:dyDescent="0.25">
      <c r="A83" s="31" t="s">
        <v>12</v>
      </c>
      <c r="B83" s="32">
        <f>B81+B82</f>
        <v>14493</v>
      </c>
      <c r="C83" s="32">
        <f>C81+C82</f>
        <v>14737</v>
      </c>
      <c r="D83" s="32">
        <f>C83-B83</f>
        <v>244</v>
      </c>
      <c r="E83" s="32">
        <f>E81+E82</f>
        <v>15170</v>
      </c>
      <c r="F83" s="52" t="s">
        <v>42</v>
      </c>
      <c r="G83" s="53">
        <f>G81+G82</f>
        <v>15382.642435977326</v>
      </c>
      <c r="H83" s="53">
        <f>H81+H82</f>
        <v>15070.164357084737</v>
      </c>
      <c r="I83" s="53">
        <f>I81+I82</f>
        <v>14757.686278192148</v>
      </c>
      <c r="J83" s="5"/>
      <c r="K83" s="5"/>
      <c r="L83" s="5"/>
    </row>
    <row r="84" spans="1:13" x14ac:dyDescent="0.2">
      <c r="A84" s="31"/>
      <c r="B84" s="32"/>
      <c r="C84" s="32"/>
      <c r="D84" s="32"/>
      <c r="E84" s="32"/>
      <c r="F84" s="54" t="s">
        <v>205</v>
      </c>
      <c r="G84" s="75"/>
      <c r="H84" s="76"/>
      <c r="I84" s="77"/>
    </row>
    <row r="85" spans="1:13" x14ac:dyDescent="0.2">
      <c r="A85" s="31"/>
      <c r="B85" s="32"/>
      <c r="C85" s="39"/>
      <c r="D85" s="31"/>
      <c r="E85" s="31"/>
      <c r="F85" s="49" t="s">
        <v>44</v>
      </c>
      <c r="G85" s="78" t="s">
        <v>35</v>
      </c>
      <c r="H85" s="79" t="s">
        <v>36</v>
      </c>
      <c r="I85" s="78" t="s">
        <v>37</v>
      </c>
    </row>
    <row r="86" spans="1:13" x14ac:dyDescent="0.2">
      <c r="A86" s="31"/>
      <c r="B86" s="31"/>
      <c r="C86" s="31"/>
      <c r="D86" s="31"/>
      <c r="E86" s="31"/>
      <c r="F86" s="52" t="s">
        <v>41</v>
      </c>
      <c r="G86" s="53">
        <f>G81-E81</f>
        <v>502.18738450002456</v>
      </c>
      <c r="H86" s="53">
        <f>H81-E81</f>
        <v>285.17124117562344</v>
      </c>
      <c r="I86" s="53">
        <f>I81-E81</f>
        <v>68.155097851225946</v>
      </c>
    </row>
    <row r="87" spans="1:13" x14ac:dyDescent="0.2">
      <c r="A87" s="31"/>
      <c r="B87" s="31"/>
      <c r="C87" s="31"/>
      <c r="D87" s="31"/>
      <c r="E87" s="31"/>
      <c r="F87" s="52" t="s">
        <v>43</v>
      </c>
      <c r="G87" s="53">
        <f>G82-E82</f>
        <v>-289.54494852269818</v>
      </c>
      <c r="H87" s="53">
        <f>H82-E82</f>
        <v>-385.00688409088525</v>
      </c>
      <c r="I87" s="53">
        <f>I82-E82</f>
        <v>-480.46881965907687</v>
      </c>
    </row>
    <row r="88" spans="1:13" x14ac:dyDescent="0.2">
      <c r="A88" s="31"/>
      <c r="B88" s="31"/>
      <c r="C88" s="31"/>
      <c r="D88" s="31"/>
      <c r="E88" s="31"/>
      <c r="F88" s="52" t="s">
        <v>42</v>
      </c>
      <c r="G88" s="53">
        <f>G83-E83</f>
        <v>212.64243597732639</v>
      </c>
      <c r="H88" s="53">
        <f>H83-E83</f>
        <v>-99.835642915262724</v>
      </c>
      <c r="I88" s="53">
        <f>I83-E83</f>
        <v>-412.31372180785183</v>
      </c>
    </row>
    <row r="89" spans="1:13" x14ac:dyDescent="0.2">
      <c r="A89" s="31"/>
      <c r="B89" s="38"/>
      <c r="C89" s="38"/>
      <c r="D89" s="31"/>
      <c r="E89" s="31"/>
      <c r="F89" s="35" t="s">
        <v>91</v>
      </c>
      <c r="G89" s="36"/>
      <c r="H89" s="36"/>
      <c r="I89" s="55"/>
    </row>
    <row r="90" spans="1:13" x14ac:dyDescent="0.2">
      <c r="A90" s="31"/>
      <c r="B90" s="38"/>
      <c r="C90" s="38"/>
      <c r="D90" s="31"/>
      <c r="E90" s="31"/>
      <c r="F90" s="52" t="s">
        <v>41</v>
      </c>
      <c r="G90" s="53">
        <f t="shared" ref="G90:I91" si="4">(1-$G$16)*G86</f>
        <v>406.16052078842813</v>
      </c>
      <c r="H90" s="53">
        <f t="shared" si="4"/>
        <v>230.64159595543961</v>
      </c>
      <c r="I90" s="53">
        <f t="shared" si="4"/>
        <v>55.122671122454008</v>
      </c>
    </row>
    <row r="91" spans="1:13" x14ac:dyDescent="0.2">
      <c r="A91" s="31"/>
      <c r="B91" s="38"/>
      <c r="C91" s="38"/>
      <c r="D91" s="31"/>
      <c r="E91" s="31"/>
      <c r="F91" s="52" t="s">
        <v>43</v>
      </c>
      <c r="G91" s="53">
        <f t="shared" si="4"/>
        <v>-234.17897524590637</v>
      </c>
      <c r="H91" s="53">
        <f t="shared" si="4"/>
        <v>-311.38694713561904</v>
      </c>
      <c r="I91" s="53">
        <f t="shared" si="4"/>
        <v>-388.5949190253354</v>
      </c>
    </row>
    <row r="92" spans="1:13" x14ac:dyDescent="0.2">
      <c r="A92" s="31"/>
      <c r="B92" s="38"/>
      <c r="C92" s="38"/>
      <c r="D92" s="31"/>
      <c r="E92" s="31"/>
      <c r="F92" s="52" t="s">
        <v>42</v>
      </c>
      <c r="G92" s="53">
        <f>G90+G91</f>
        <v>171.98154554252176</v>
      </c>
      <c r="H92" s="53">
        <f>H90+H91</f>
        <v>-80.745351180179426</v>
      </c>
      <c r="I92" s="53">
        <f>I90+I91</f>
        <v>-333.47224790288141</v>
      </c>
    </row>
    <row r="93" spans="1:13" ht="14.25" x14ac:dyDescent="0.2">
      <c r="A93" s="30"/>
      <c r="B93" s="67"/>
      <c r="C93" s="67"/>
      <c r="D93" s="30"/>
      <c r="E93" s="30"/>
      <c r="F93" s="69"/>
      <c r="G93" s="72"/>
      <c r="H93" s="72"/>
      <c r="I93" s="74"/>
    </row>
    <row r="94" spans="1:13" ht="14.25" x14ac:dyDescent="0.2">
      <c r="A94" s="30"/>
      <c r="B94" s="67"/>
      <c r="C94" s="67"/>
      <c r="D94" s="30"/>
      <c r="E94" s="30"/>
      <c r="F94" s="69"/>
      <c r="G94" s="72"/>
      <c r="H94" s="72"/>
      <c r="I94" s="74"/>
    </row>
    <row r="95" spans="1:13" ht="25.5" x14ac:dyDescent="0.2">
      <c r="A95" s="184" t="s">
        <v>155</v>
      </c>
      <c r="B95" s="181">
        <v>1990</v>
      </c>
      <c r="C95" s="182">
        <v>2000</v>
      </c>
      <c r="D95" s="183" t="s">
        <v>117</v>
      </c>
      <c r="E95" s="48">
        <v>2010</v>
      </c>
      <c r="F95" s="34"/>
      <c r="G95" s="175"/>
      <c r="H95" s="176" t="s">
        <v>185</v>
      </c>
      <c r="I95" s="177"/>
      <c r="K95" s="178"/>
      <c r="L95" s="179" t="s">
        <v>186</v>
      </c>
      <c r="M95" s="180"/>
    </row>
    <row r="96" spans="1:13" x14ac:dyDescent="0.2">
      <c r="A96" s="21" t="s">
        <v>150</v>
      </c>
      <c r="B96" s="32">
        <f t="shared" ref="B96:C98" si="5">B29</f>
        <v>10042</v>
      </c>
      <c r="C96" s="32">
        <f t="shared" si="5"/>
        <v>10009</v>
      </c>
      <c r="D96" s="32">
        <f>C96-B96</f>
        <v>-33</v>
      </c>
      <c r="E96" s="32">
        <f t="shared" ref="E96:I98" si="6">E29</f>
        <v>10092</v>
      </c>
      <c r="F96" s="34"/>
      <c r="G96" s="32">
        <f t="shared" si="6"/>
        <v>9602.9788800732331</v>
      </c>
      <c r="H96" s="32">
        <f t="shared" si="6"/>
        <v>9296.4894400366175</v>
      </c>
      <c r="I96" s="32">
        <f t="shared" si="6"/>
        <v>8990</v>
      </c>
      <c r="K96" s="3">
        <f>G96-E96</f>
        <v>-489.02111992676691</v>
      </c>
      <c r="L96" s="3">
        <f>H96-E96</f>
        <v>-795.51055996338255</v>
      </c>
      <c r="M96" s="3">
        <f>I96-E96</f>
        <v>-1102</v>
      </c>
    </row>
    <row r="97" spans="1:13" x14ac:dyDescent="0.2">
      <c r="A97" s="31" t="s">
        <v>151</v>
      </c>
      <c r="B97" s="32">
        <f t="shared" si="5"/>
        <v>7101</v>
      </c>
      <c r="C97" s="32">
        <f t="shared" si="5"/>
        <v>7033</v>
      </c>
      <c r="D97" s="32">
        <f>C97-B97</f>
        <v>-68</v>
      </c>
      <c r="E97" s="32">
        <f t="shared" si="6"/>
        <v>7019</v>
      </c>
      <c r="F97" s="34"/>
      <c r="G97" s="32">
        <f t="shared" si="6"/>
        <v>6731.5905772247079</v>
      </c>
      <c r="H97" s="32">
        <f t="shared" si="6"/>
        <v>6516.7445953335528</v>
      </c>
      <c r="I97" s="32">
        <f t="shared" si="6"/>
        <v>6301.8986134423967</v>
      </c>
      <c r="K97" s="3">
        <f t="shared" ref="K97:K106" si="7">G97-E97</f>
        <v>-287.40942277529211</v>
      </c>
      <c r="L97" s="3">
        <f t="shared" ref="L97:L106" si="8">H97-E97</f>
        <v>-502.25540466644725</v>
      </c>
      <c r="M97" s="3">
        <f t="shared" ref="M97:M106" si="9">I97-E97</f>
        <v>-717.10138655760329</v>
      </c>
    </row>
    <row r="98" spans="1:13" x14ac:dyDescent="0.2">
      <c r="A98" s="31" t="s">
        <v>152</v>
      </c>
      <c r="B98" s="32">
        <f t="shared" si="5"/>
        <v>2941</v>
      </c>
      <c r="C98" s="32">
        <f t="shared" si="5"/>
        <v>2976</v>
      </c>
      <c r="D98" s="32">
        <f>C98-B98</f>
        <v>35</v>
      </c>
      <c r="E98" s="32">
        <f t="shared" si="6"/>
        <v>3073</v>
      </c>
      <c r="F98" s="34"/>
      <c r="G98" s="32">
        <f t="shared" si="6"/>
        <v>2871.3883028485252</v>
      </c>
      <c r="H98" s="32">
        <f t="shared" si="6"/>
        <v>2779.7448447030647</v>
      </c>
      <c r="I98" s="32">
        <f t="shared" si="6"/>
        <v>2688.3634910498913</v>
      </c>
      <c r="K98" s="3">
        <f t="shared" si="7"/>
        <v>-201.6116971514748</v>
      </c>
      <c r="L98" s="3">
        <f t="shared" si="8"/>
        <v>-293.2551552969353</v>
      </c>
      <c r="M98" s="3">
        <f t="shared" si="9"/>
        <v>-384.63650895010869</v>
      </c>
    </row>
    <row r="99" spans="1:13" x14ac:dyDescent="0.2">
      <c r="A99" s="31"/>
      <c r="B99" s="31"/>
      <c r="C99" s="31"/>
      <c r="D99" s="31"/>
      <c r="E99" s="31"/>
      <c r="F99" s="34"/>
      <c r="G99" s="31"/>
      <c r="H99" s="31"/>
      <c r="I99" s="31"/>
      <c r="K99" s="3"/>
      <c r="L99" s="3"/>
      <c r="M99" s="3"/>
    </row>
    <row r="100" spans="1:13" x14ac:dyDescent="0.2">
      <c r="A100" s="21" t="s">
        <v>153</v>
      </c>
      <c r="B100" s="32">
        <f>B41</f>
        <v>3757</v>
      </c>
      <c r="C100" s="32">
        <f>C41</f>
        <v>3952</v>
      </c>
      <c r="D100" s="32">
        <f t="shared" ref="D100:D106" si="10">C100-B100</f>
        <v>195</v>
      </c>
      <c r="E100" s="32">
        <f>E41</f>
        <v>4079</v>
      </c>
      <c r="F100" s="34"/>
      <c r="G100" s="32">
        <f>G41</f>
        <v>5416</v>
      </c>
      <c r="H100" s="32">
        <f>H41</f>
        <v>5416</v>
      </c>
      <c r="I100" s="32">
        <f>I41</f>
        <v>5416</v>
      </c>
      <c r="K100" s="3">
        <f t="shared" si="7"/>
        <v>1337</v>
      </c>
      <c r="L100" s="3">
        <f t="shared" si="8"/>
        <v>1337</v>
      </c>
      <c r="M100" s="3">
        <f t="shared" si="9"/>
        <v>1337</v>
      </c>
    </row>
    <row r="101" spans="1:13" x14ac:dyDescent="0.2">
      <c r="A101" s="31" t="s">
        <v>151</v>
      </c>
      <c r="B101" s="32">
        <f>B45</f>
        <v>2597</v>
      </c>
      <c r="C101" s="32">
        <f>C45</f>
        <v>2909</v>
      </c>
      <c r="D101" s="32">
        <f t="shared" si="10"/>
        <v>312</v>
      </c>
      <c r="E101" s="32">
        <f t="shared" ref="E101:I102" si="11">E45</f>
        <v>3052</v>
      </c>
      <c r="F101" s="34"/>
      <c r="G101" s="32">
        <f t="shared" si="11"/>
        <v>4090.3997734303152</v>
      </c>
      <c r="H101" s="32">
        <f t="shared" si="11"/>
        <v>4090.3997734303152</v>
      </c>
      <c r="I101" s="32">
        <f t="shared" si="11"/>
        <v>4090.3997734303157</v>
      </c>
      <c r="K101" s="3">
        <f t="shared" si="7"/>
        <v>1038.3997734303152</v>
      </c>
      <c r="L101" s="3">
        <f t="shared" si="8"/>
        <v>1038.3997734303152</v>
      </c>
      <c r="M101" s="3">
        <f t="shared" si="9"/>
        <v>1038.3997734303157</v>
      </c>
    </row>
    <row r="102" spans="1:13" x14ac:dyDescent="0.2">
      <c r="A102" s="31" t="s">
        <v>152</v>
      </c>
      <c r="B102" s="32">
        <f>B46</f>
        <v>1160</v>
      </c>
      <c r="C102" s="32">
        <f>C46</f>
        <v>1043</v>
      </c>
      <c r="D102" s="32">
        <f t="shared" si="10"/>
        <v>-117</v>
      </c>
      <c r="E102" s="32">
        <f t="shared" si="11"/>
        <v>1027</v>
      </c>
      <c r="F102" s="34"/>
      <c r="G102" s="32">
        <f t="shared" si="11"/>
        <v>1325.6002265696848</v>
      </c>
      <c r="H102" s="32">
        <f t="shared" si="11"/>
        <v>1325.6002265696848</v>
      </c>
      <c r="I102" s="32">
        <f t="shared" si="11"/>
        <v>1325.9868082799351</v>
      </c>
      <c r="K102" s="3">
        <f t="shared" si="7"/>
        <v>298.60022656968476</v>
      </c>
      <c r="L102" s="3">
        <f t="shared" si="8"/>
        <v>298.60022656968476</v>
      </c>
      <c r="M102" s="3">
        <f t="shared" si="9"/>
        <v>298.98680827993508</v>
      </c>
    </row>
    <row r="103" spans="1:13" x14ac:dyDescent="0.2">
      <c r="A103" s="31"/>
      <c r="B103" s="38"/>
      <c r="C103" s="38"/>
      <c r="D103" s="31"/>
      <c r="E103" s="31"/>
      <c r="F103" s="34"/>
      <c r="G103" s="31"/>
      <c r="H103" s="31"/>
      <c r="I103" s="31"/>
      <c r="K103" s="3"/>
      <c r="L103" s="3"/>
      <c r="M103" s="3"/>
    </row>
    <row r="104" spans="1:13" x14ac:dyDescent="0.2">
      <c r="A104" s="21" t="s">
        <v>154</v>
      </c>
      <c r="B104" s="32">
        <f t="shared" ref="B104:C106" si="12">B55</f>
        <v>13799</v>
      </c>
      <c r="C104" s="32">
        <f t="shared" si="12"/>
        <v>13961</v>
      </c>
      <c r="D104" s="32">
        <f t="shared" si="10"/>
        <v>162</v>
      </c>
      <c r="E104" s="32">
        <f>E55</f>
        <v>14171</v>
      </c>
      <c r="F104" s="34"/>
      <c r="G104" s="32">
        <f>G55</f>
        <v>15018.978880073233</v>
      </c>
      <c r="H104" s="32">
        <f>H55</f>
        <v>14712.489440036617</v>
      </c>
      <c r="I104" s="32">
        <f>I55</f>
        <v>14406</v>
      </c>
      <c r="K104" s="3">
        <f t="shared" si="7"/>
        <v>847.97888007323309</v>
      </c>
      <c r="L104" s="3">
        <f t="shared" si="8"/>
        <v>541.48944003661745</v>
      </c>
      <c r="M104" s="3">
        <f t="shared" si="9"/>
        <v>235</v>
      </c>
    </row>
    <row r="105" spans="1:13" x14ac:dyDescent="0.2">
      <c r="A105" s="31" t="s">
        <v>151</v>
      </c>
      <c r="B105" s="32">
        <f t="shared" si="12"/>
        <v>9698</v>
      </c>
      <c r="C105" s="32">
        <f t="shared" si="12"/>
        <v>9942</v>
      </c>
      <c r="D105" s="32">
        <f t="shared" si="10"/>
        <v>244</v>
      </c>
      <c r="E105" s="32">
        <f t="shared" ref="E105:I106" si="13">E56</f>
        <v>10071</v>
      </c>
      <c r="F105" s="34"/>
      <c r="G105" s="32">
        <f t="shared" si="13"/>
        <v>10821.990350655024</v>
      </c>
      <c r="H105" s="32">
        <f t="shared" si="13"/>
        <v>10607.144368763868</v>
      </c>
      <c r="I105" s="32">
        <f t="shared" si="13"/>
        <v>10392.298386872713</v>
      </c>
      <c r="K105" s="3">
        <f t="shared" si="7"/>
        <v>750.99035065502358</v>
      </c>
      <c r="L105" s="3">
        <f t="shared" si="8"/>
        <v>536.14436876386753</v>
      </c>
      <c r="M105" s="3">
        <f t="shared" si="9"/>
        <v>321.29838687271331</v>
      </c>
    </row>
    <row r="106" spans="1:13" x14ac:dyDescent="0.2">
      <c r="A106" s="31" t="s">
        <v>152</v>
      </c>
      <c r="B106" s="32">
        <f t="shared" si="12"/>
        <v>4101</v>
      </c>
      <c r="C106" s="32">
        <f t="shared" si="12"/>
        <v>4019</v>
      </c>
      <c r="D106" s="32">
        <f t="shared" si="10"/>
        <v>-82</v>
      </c>
      <c r="E106" s="32">
        <f t="shared" si="13"/>
        <v>4100</v>
      </c>
      <c r="F106" s="34"/>
      <c r="G106" s="32">
        <f t="shared" si="13"/>
        <v>4196.9885294182095</v>
      </c>
      <c r="H106" s="32">
        <f t="shared" si="13"/>
        <v>4105.3450712727499</v>
      </c>
      <c r="I106" s="32">
        <f t="shared" si="13"/>
        <v>4013.7016131272867</v>
      </c>
      <c r="K106" s="3">
        <f t="shared" si="7"/>
        <v>96.988529418209509</v>
      </c>
      <c r="L106" s="3">
        <f t="shared" si="8"/>
        <v>5.3450712727499194</v>
      </c>
      <c r="M106" s="3">
        <f t="shared" si="9"/>
        <v>-86.298386872713309</v>
      </c>
    </row>
    <row r="107" spans="1:13" ht="14.25" x14ac:dyDescent="0.2">
      <c r="A107" s="30"/>
      <c r="B107" s="67"/>
      <c r="C107" s="67"/>
      <c r="D107" s="30"/>
      <c r="E107" s="30"/>
      <c r="F107" s="69"/>
      <c r="G107" s="72"/>
      <c r="H107" s="72"/>
      <c r="I107" s="74"/>
    </row>
    <row r="108" spans="1:13" ht="14.25" x14ac:dyDescent="0.2">
      <c r="A108" s="30"/>
      <c r="B108" s="67"/>
      <c r="C108" s="67"/>
      <c r="D108" s="30"/>
      <c r="E108" s="30"/>
      <c r="F108" s="69"/>
      <c r="G108" s="72"/>
      <c r="H108" s="72"/>
      <c r="I108" s="74"/>
    </row>
    <row r="109" spans="1:13" x14ac:dyDescent="0.2">
      <c r="A109" s="222" t="s">
        <v>206</v>
      </c>
      <c r="B109" s="38"/>
      <c r="C109" s="38"/>
      <c r="D109" s="31"/>
      <c r="E109" s="57" t="s">
        <v>187</v>
      </c>
      <c r="F109" s="34"/>
      <c r="G109" s="45"/>
      <c r="H109" s="58"/>
      <c r="I109" s="56"/>
    </row>
    <row r="110" spans="1:13" x14ac:dyDescent="0.2">
      <c r="A110" s="222" t="s">
        <v>207</v>
      </c>
      <c r="B110" s="38"/>
      <c r="C110" s="38"/>
      <c r="D110" s="31"/>
      <c r="E110" s="219" t="s">
        <v>209</v>
      </c>
      <c r="F110" s="34"/>
      <c r="G110" s="31"/>
      <c r="H110" s="59"/>
      <c r="I110" s="31"/>
    </row>
    <row r="111" spans="1:13" x14ac:dyDescent="0.2">
      <c r="A111" s="21"/>
      <c r="B111" s="38"/>
      <c r="C111" s="38"/>
      <c r="D111" s="31"/>
      <c r="E111" s="31"/>
      <c r="F111" s="34"/>
      <c r="G111" s="60" t="s">
        <v>77</v>
      </c>
      <c r="H111" s="60" t="s">
        <v>78</v>
      </c>
      <c r="I111" s="61" t="s">
        <v>79</v>
      </c>
    </row>
    <row r="112" spans="1:13" x14ac:dyDescent="0.2">
      <c r="A112" s="21" t="s">
        <v>49</v>
      </c>
      <c r="B112" s="38"/>
      <c r="C112" s="62" t="s">
        <v>208</v>
      </c>
      <c r="D112" s="31"/>
      <c r="E112" s="21" t="s">
        <v>49</v>
      </c>
      <c r="F112" s="34"/>
      <c r="G112" s="45"/>
      <c r="H112" s="31"/>
      <c r="I112" s="56"/>
    </row>
    <row r="113" spans="1:9" x14ac:dyDescent="0.2">
      <c r="A113" s="31" t="s">
        <v>50</v>
      </c>
      <c r="B113" s="38"/>
      <c r="C113" s="217">
        <v>630.83436687337473</v>
      </c>
      <c r="D113" s="31"/>
      <c r="E113" s="31" t="s">
        <v>50</v>
      </c>
      <c r="F113" s="34"/>
      <c r="G113" s="45">
        <f>G56*C141</f>
        <v>647.95780478029928</v>
      </c>
      <c r="H113" s="45">
        <f>H56*C141</f>
        <v>635.09407765790024</v>
      </c>
      <c r="I113" s="45">
        <f>I56*C141</f>
        <v>622.23035053550132</v>
      </c>
    </row>
    <row r="114" spans="1:9" x14ac:dyDescent="0.2">
      <c r="A114" s="31" t="s">
        <v>51</v>
      </c>
      <c r="B114" s="38"/>
      <c r="C114" s="217">
        <v>1413.7243448689737</v>
      </c>
      <c r="D114" s="31"/>
      <c r="E114" s="31" t="s">
        <v>51</v>
      </c>
      <c r="F114" s="34"/>
      <c r="G114" s="45">
        <f>G56*C142</f>
        <v>1452.0986350282963</v>
      </c>
      <c r="H114" s="45">
        <f>H56*C142</f>
        <v>1423.2705223672478</v>
      </c>
      <c r="I114" s="45">
        <f>I56*C142</f>
        <v>1394.4424097061997</v>
      </c>
    </row>
    <row r="115" spans="1:9" x14ac:dyDescent="0.2">
      <c r="A115" s="31" t="s">
        <v>52</v>
      </c>
      <c r="B115" s="38"/>
      <c r="C115" s="217">
        <v>1955.3751550310062</v>
      </c>
      <c r="D115" s="31"/>
      <c r="E115" s="31" t="s">
        <v>52</v>
      </c>
      <c r="F115" s="34"/>
      <c r="G115" s="45">
        <f>G56*C143</f>
        <v>2008.4520747585534</v>
      </c>
      <c r="H115" s="45">
        <f>H56*C143</f>
        <v>1968.5788311036363</v>
      </c>
      <c r="I115" s="45">
        <f>I56*C143</f>
        <v>1928.7055874487194</v>
      </c>
    </row>
    <row r="116" spans="1:9" x14ac:dyDescent="0.2">
      <c r="A116" s="31" t="s">
        <v>53</v>
      </c>
      <c r="B116" s="38"/>
      <c r="C116" s="217">
        <v>2988.246664666467</v>
      </c>
      <c r="D116" s="31"/>
      <c r="E116" s="31" t="s">
        <v>53</v>
      </c>
      <c r="F116" s="34"/>
      <c r="G116" s="45">
        <f>G56*C144</f>
        <v>3069.3599630217882</v>
      </c>
      <c r="H116" s="45">
        <f>H56*C144</f>
        <v>3008.4248084277074</v>
      </c>
      <c r="I116" s="45">
        <f>I56*C144</f>
        <v>2947.4896538336266</v>
      </c>
    </row>
    <row r="117" spans="1:9" x14ac:dyDescent="0.2">
      <c r="A117" s="31" t="s">
        <v>54</v>
      </c>
      <c r="B117" s="38"/>
      <c r="C117" s="217">
        <v>4036.8022534835654</v>
      </c>
      <c r="D117" s="31"/>
      <c r="E117" s="31" t="s">
        <v>54</v>
      </c>
      <c r="F117" s="34"/>
      <c r="G117" s="45">
        <f>G56*C145</f>
        <v>4146.3776608486714</v>
      </c>
      <c r="H117" s="45">
        <f>H56*C145</f>
        <v>4064.0607717209086</v>
      </c>
      <c r="I117" s="45">
        <f>I56*C145</f>
        <v>3981.7438825931463</v>
      </c>
    </row>
    <row r="118" spans="1:9" x14ac:dyDescent="0.2">
      <c r="A118" s="31" t="s">
        <v>55</v>
      </c>
      <c r="B118" s="38"/>
      <c r="C118" s="217">
        <v>5092.6896059737319</v>
      </c>
      <c r="D118" s="31"/>
      <c r="E118" s="31" t="s">
        <v>55</v>
      </c>
      <c r="F118" s="34"/>
      <c r="G118" s="45">
        <f>G56*C146</f>
        <v>5230.9261365536122</v>
      </c>
      <c r="H118" s="45">
        <f>H56*C146</f>
        <v>5127.0780064413957</v>
      </c>
      <c r="I118" s="45">
        <f>I56*C146</f>
        <v>5023.229876329181</v>
      </c>
    </row>
    <row r="119" spans="1:9" x14ac:dyDescent="0.2">
      <c r="A119" s="31" t="s">
        <v>56</v>
      </c>
      <c r="B119" s="38"/>
      <c r="C119" s="217">
        <v>10536</v>
      </c>
      <c r="D119" s="31"/>
      <c r="E119" s="31" t="s">
        <v>56</v>
      </c>
      <c r="F119" s="34"/>
      <c r="G119" s="45">
        <f>G56*C147</f>
        <v>10821.990350655024</v>
      </c>
      <c r="H119" s="45">
        <f>H56*C147</f>
        <v>10607.144368763868</v>
      </c>
      <c r="I119" s="45">
        <f>I56*C147</f>
        <v>10392.298386872713</v>
      </c>
    </row>
    <row r="120" spans="1:9" x14ac:dyDescent="0.2">
      <c r="A120" s="31"/>
      <c r="B120" s="38"/>
      <c r="C120" s="32"/>
      <c r="D120" s="31"/>
      <c r="E120" s="31"/>
      <c r="F120" s="34"/>
      <c r="G120" s="45"/>
      <c r="H120" s="45"/>
      <c r="I120" s="45"/>
    </row>
    <row r="121" spans="1:9" x14ac:dyDescent="0.2">
      <c r="A121" s="21" t="s">
        <v>0</v>
      </c>
      <c r="B121" s="38"/>
      <c r="C121" s="32"/>
      <c r="D121" s="31"/>
      <c r="E121" s="21" t="s">
        <v>0</v>
      </c>
      <c r="F121" s="34"/>
      <c r="G121" s="45"/>
      <c r="H121" s="45"/>
      <c r="I121" s="45"/>
    </row>
    <row r="122" spans="1:9" x14ac:dyDescent="0.2">
      <c r="A122" s="31" t="s">
        <v>50</v>
      </c>
      <c r="B122" s="38"/>
      <c r="C122" s="217">
        <v>1145.9112222444489</v>
      </c>
      <c r="D122" s="31"/>
      <c r="E122" s="31" t="s">
        <v>50</v>
      </c>
      <c r="F122" s="34"/>
      <c r="G122" s="45">
        <f>G57*C150</f>
        <v>1150.5684821750126</v>
      </c>
      <c r="H122" s="45">
        <f>H57*C150</f>
        <v>1125.4452125256894</v>
      </c>
      <c r="I122" s="45">
        <f>I57*C150</f>
        <v>1100.321942876365</v>
      </c>
    </row>
    <row r="123" spans="1:9" x14ac:dyDescent="0.2">
      <c r="A123" s="31" t="s">
        <v>51</v>
      </c>
      <c r="B123" s="38"/>
      <c r="C123" s="217">
        <v>1964.1916383276655</v>
      </c>
      <c r="D123" s="31"/>
      <c r="E123" s="31" t="s">
        <v>51</v>
      </c>
      <c r="F123" s="34"/>
      <c r="G123" s="45">
        <f>G57*C151</f>
        <v>1972.1745874737735</v>
      </c>
      <c r="H123" s="45">
        <f>H57*C151</f>
        <v>1929.1111151779019</v>
      </c>
      <c r="I123" s="45">
        <f>I57*C151</f>
        <v>1886.0476428820286</v>
      </c>
    </row>
    <row r="124" spans="1:9" x14ac:dyDescent="0.2">
      <c r="A124" s="31" t="s">
        <v>52</v>
      </c>
      <c r="B124" s="38"/>
      <c r="C124" s="217">
        <v>2383.1119023804763</v>
      </c>
      <c r="D124" s="31"/>
      <c r="E124" s="31" t="s">
        <v>52</v>
      </c>
      <c r="F124" s="34"/>
      <c r="G124" s="45">
        <f>G57*C152</f>
        <v>2392.7974446437479</v>
      </c>
      <c r="H124" s="45">
        <f>H57*C152</f>
        <v>2340.5494504136641</v>
      </c>
      <c r="I124" s="45">
        <f>I57*C152</f>
        <v>2288.3014561835776</v>
      </c>
    </row>
    <row r="125" spans="1:9" x14ac:dyDescent="0.2">
      <c r="A125" s="31" t="s">
        <v>53</v>
      </c>
      <c r="B125" s="38"/>
      <c r="C125" s="217">
        <v>2870.1752175217525</v>
      </c>
      <c r="D125" s="31"/>
      <c r="E125" s="31" t="s">
        <v>53</v>
      </c>
      <c r="F125" s="34"/>
      <c r="G125" s="45">
        <f>G57*C153</f>
        <v>2881.8403027175145</v>
      </c>
      <c r="H125" s="45">
        <f>H57*C153</f>
        <v>2818.9137997469188</v>
      </c>
      <c r="I125" s="45">
        <f>I57*C153</f>
        <v>2755.9872967763204</v>
      </c>
    </row>
    <row r="126" spans="1:9" x14ac:dyDescent="0.2">
      <c r="A126" s="31" t="s">
        <v>54</v>
      </c>
      <c r="B126" s="38"/>
      <c r="C126" s="217">
        <v>3287.2498166544437</v>
      </c>
      <c r="D126" s="31"/>
      <c r="E126" s="31" t="s">
        <v>54</v>
      </c>
      <c r="F126" s="34"/>
      <c r="G126" s="45">
        <f>G57*C154</f>
        <v>3300.6099937394288</v>
      </c>
      <c r="H126" s="45">
        <f>H57*C154</f>
        <v>3228.5394336948734</v>
      </c>
      <c r="I126" s="45">
        <f>I57*C154</f>
        <v>3156.4688736503153</v>
      </c>
    </row>
    <row r="127" spans="1:9" x14ac:dyDescent="0.2">
      <c r="A127" s="31" t="s">
        <v>55</v>
      </c>
      <c r="B127" s="38"/>
      <c r="C127" s="217">
        <v>3685.3891592772852</v>
      </c>
      <c r="D127" s="31"/>
      <c r="E127" s="31" t="s">
        <v>55</v>
      </c>
      <c r="F127" s="34"/>
      <c r="G127" s="45">
        <f>G57*C155</f>
        <v>3700.3674707964078</v>
      </c>
      <c r="H127" s="45">
        <f>H57*C155</f>
        <v>3619.5679953973745</v>
      </c>
      <c r="I127" s="45">
        <f>I57*C155</f>
        <v>3538.7685199983384</v>
      </c>
    </row>
    <row r="128" spans="1:9" x14ac:dyDescent="0.2">
      <c r="A128" s="31" t="s">
        <v>57</v>
      </c>
      <c r="B128" s="38"/>
      <c r="C128" s="217">
        <v>4180</v>
      </c>
      <c r="D128" s="31"/>
      <c r="E128" s="31" t="s">
        <v>57</v>
      </c>
      <c r="F128" s="34"/>
      <c r="G128" s="45">
        <f>G57*C156</f>
        <v>4196.9885294182095</v>
      </c>
      <c r="H128" s="45">
        <f>H57*C156</f>
        <v>4105.3450712727499</v>
      </c>
      <c r="I128" s="45">
        <f>I57*C156</f>
        <v>4013.7016131272867</v>
      </c>
    </row>
    <row r="129" spans="1:9" x14ac:dyDescent="0.2">
      <c r="A129" s="31"/>
      <c r="B129" s="38"/>
      <c r="C129" s="32"/>
      <c r="D129" s="31"/>
      <c r="E129" s="31"/>
      <c r="F129" s="34"/>
      <c r="G129" s="45"/>
      <c r="H129" s="45"/>
      <c r="I129" s="45"/>
    </row>
    <row r="130" spans="1:9" x14ac:dyDescent="0.2">
      <c r="A130" s="21" t="s">
        <v>58</v>
      </c>
      <c r="B130" s="38"/>
      <c r="C130" s="38"/>
      <c r="D130" s="31"/>
      <c r="E130" s="21" t="s">
        <v>58</v>
      </c>
      <c r="F130" s="34"/>
      <c r="G130" s="45"/>
      <c r="H130" s="45"/>
      <c r="I130" s="45"/>
    </row>
    <row r="131" spans="1:9" x14ac:dyDescent="0.2">
      <c r="A131" s="31" t="s">
        <v>50</v>
      </c>
      <c r="B131" s="38"/>
      <c r="C131" s="32">
        <f>C113+C122</f>
        <v>1776.7455891178238</v>
      </c>
      <c r="D131" s="31"/>
      <c r="E131" s="31" t="s">
        <v>50</v>
      </c>
      <c r="F131" s="34"/>
      <c r="G131" s="32">
        <f>G113+G122</f>
        <v>1798.5262869553119</v>
      </c>
      <c r="H131" s="32">
        <f>H113+H122</f>
        <v>1760.5392901835896</v>
      </c>
      <c r="I131" s="32">
        <f>I113+I122</f>
        <v>1722.5522934118662</v>
      </c>
    </row>
    <row r="132" spans="1:9" x14ac:dyDescent="0.2">
      <c r="A132" s="31" t="s">
        <v>51</v>
      </c>
      <c r="B132" s="38"/>
      <c r="C132" s="32">
        <f t="shared" ref="C132:C137" si="14">C114+C123</f>
        <v>3377.915983196639</v>
      </c>
      <c r="D132" s="31"/>
      <c r="E132" s="31" t="s">
        <v>51</v>
      </c>
      <c r="F132" s="34"/>
      <c r="G132" s="32">
        <f t="shared" ref="G132:I137" si="15">G114+G123</f>
        <v>3424.27322250207</v>
      </c>
      <c r="H132" s="32">
        <f t="shared" si="15"/>
        <v>3352.3816375451497</v>
      </c>
      <c r="I132" s="32">
        <f t="shared" si="15"/>
        <v>3280.4900525882285</v>
      </c>
    </row>
    <row r="133" spans="1:9" x14ac:dyDescent="0.2">
      <c r="A133" s="31" t="s">
        <v>52</v>
      </c>
      <c r="B133" s="38"/>
      <c r="C133" s="32">
        <f t="shared" si="14"/>
        <v>4338.487057411483</v>
      </c>
      <c r="D133" s="31"/>
      <c r="E133" s="31" t="s">
        <v>52</v>
      </c>
      <c r="F133" s="34"/>
      <c r="G133" s="32">
        <f t="shared" si="15"/>
        <v>4401.2495194023013</v>
      </c>
      <c r="H133" s="32">
        <f t="shared" si="15"/>
        <v>4309.1282815172999</v>
      </c>
      <c r="I133" s="32">
        <f t="shared" si="15"/>
        <v>4217.0070436322967</v>
      </c>
    </row>
    <row r="134" spans="1:9" x14ac:dyDescent="0.2">
      <c r="A134" s="31" t="s">
        <v>53</v>
      </c>
      <c r="B134" s="38"/>
      <c r="C134" s="32">
        <f t="shared" si="14"/>
        <v>5858.4218821882196</v>
      </c>
      <c r="D134" s="31"/>
      <c r="E134" s="31" t="s">
        <v>53</v>
      </c>
      <c r="F134" s="34"/>
      <c r="G134" s="32">
        <f t="shared" si="15"/>
        <v>5951.2002657393023</v>
      </c>
      <c r="H134" s="32">
        <f t="shared" si="15"/>
        <v>5827.3386081746266</v>
      </c>
      <c r="I134" s="32">
        <f t="shared" si="15"/>
        <v>5703.4769506099474</v>
      </c>
    </row>
    <row r="135" spans="1:9" x14ac:dyDescent="0.2">
      <c r="A135" s="31" t="s">
        <v>54</v>
      </c>
      <c r="B135" s="38"/>
      <c r="C135" s="32">
        <f t="shared" si="14"/>
        <v>7324.0520701380092</v>
      </c>
      <c r="D135" s="31"/>
      <c r="E135" s="31" t="s">
        <v>54</v>
      </c>
      <c r="F135" s="34"/>
      <c r="G135" s="32">
        <f t="shared" si="15"/>
        <v>7446.9876545880998</v>
      </c>
      <c r="H135" s="32">
        <f t="shared" si="15"/>
        <v>7292.6002054157816</v>
      </c>
      <c r="I135" s="32">
        <f t="shared" si="15"/>
        <v>7138.2127562434616</v>
      </c>
    </row>
    <row r="136" spans="1:9" x14ac:dyDescent="0.2">
      <c r="A136" s="31" t="s">
        <v>55</v>
      </c>
      <c r="B136" s="38"/>
      <c r="C136" s="32">
        <f t="shared" si="14"/>
        <v>8778.0787652510171</v>
      </c>
      <c r="D136" s="31"/>
      <c r="E136" s="31" t="s">
        <v>55</v>
      </c>
      <c r="F136" s="34"/>
      <c r="G136" s="32">
        <f t="shared" si="15"/>
        <v>8931.2936073500205</v>
      </c>
      <c r="H136" s="32">
        <f t="shared" si="15"/>
        <v>8746.6460018387697</v>
      </c>
      <c r="I136" s="32">
        <f t="shared" si="15"/>
        <v>8561.998396327519</v>
      </c>
    </row>
    <row r="137" spans="1:9" x14ac:dyDescent="0.2">
      <c r="A137" s="31" t="s">
        <v>59</v>
      </c>
      <c r="B137" s="38"/>
      <c r="C137" s="32">
        <f t="shared" si="14"/>
        <v>14716</v>
      </c>
      <c r="D137" s="31"/>
      <c r="E137" s="31" t="s">
        <v>59</v>
      </c>
      <c r="F137" s="34"/>
      <c r="G137" s="32">
        <f t="shared" si="15"/>
        <v>15018.978880073233</v>
      </c>
      <c r="H137" s="32">
        <f t="shared" si="15"/>
        <v>14712.489440036617</v>
      </c>
      <c r="I137" s="32">
        <f t="shared" si="15"/>
        <v>14406</v>
      </c>
    </row>
    <row r="138" spans="1:9" x14ac:dyDescent="0.2">
      <c r="A138" s="31"/>
      <c r="B138" s="38"/>
      <c r="C138" s="38"/>
      <c r="D138" s="31"/>
      <c r="E138" s="31"/>
      <c r="F138" s="34"/>
      <c r="G138" s="45"/>
      <c r="H138" s="45"/>
      <c r="I138" s="56"/>
    </row>
    <row r="139" spans="1:9" x14ac:dyDescent="0.2">
      <c r="A139" s="21" t="s">
        <v>60</v>
      </c>
      <c r="B139" s="38"/>
      <c r="C139" s="62"/>
      <c r="D139" s="31"/>
      <c r="E139" s="31"/>
      <c r="F139" s="34"/>
      <c r="G139" s="45"/>
      <c r="H139" s="45"/>
      <c r="I139" s="56"/>
    </row>
    <row r="140" spans="1:9" x14ac:dyDescent="0.2">
      <c r="A140" s="21" t="s">
        <v>49</v>
      </c>
      <c r="B140" s="38"/>
      <c r="C140" s="62"/>
      <c r="D140" s="31"/>
      <c r="E140" s="31"/>
      <c r="F140" s="34"/>
      <c r="G140" s="45"/>
      <c r="H140" s="45"/>
      <c r="I140" s="56"/>
    </row>
    <row r="141" spans="1:9" x14ac:dyDescent="0.2">
      <c r="A141" s="31" t="s">
        <v>50</v>
      </c>
      <c r="B141" s="38"/>
      <c r="C141" s="38">
        <f>C113/C119</f>
        <v>5.9874180606812336E-2</v>
      </c>
      <c r="D141" s="38">
        <v>9.9445843828715366E-2</v>
      </c>
      <c r="E141" s="43">
        <f>+C141-D141</f>
        <v>-3.9571663221903031E-2</v>
      </c>
      <c r="F141" s="34"/>
      <c r="G141" s="45"/>
      <c r="H141" s="45"/>
      <c r="I141" s="56"/>
    </row>
    <row r="142" spans="1:9" x14ac:dyDescent="0.2">
      <c r="A142" s="31" t="s">
        <v>51</v>
      </c>
      <c r="B142" s="38"/>
      <c r="C142" s="38">
        <f>C114/C119</f>
        <v>0.13418036682507345</v>
      </c>
      <c r="D142" s="38">
        <v>0.21471032745591939</v>
      </c>
      <c r="E142" s="43">
        <f t="shared" ref="E142:E147" si="16">+C142-D142</f>
        <v>-8.0529960630845943E-2</v>
      </c>
      <c r="F142" s="34"/>
      <c r="G142" s="45"/>
      <c r="H142" s="45"/>
      <c r="I142" s="56"/>
    </row>
    <row r="143" spans="1:9" x14ac:dyDescent="0.2">
      <c r="A143" s="31" t="s">
        <v>52</v>
      </c>
      <c r="B143" s="38"/>
      <c r="C143" s="38">
        <f>C115/C119</f>
        <v>0.18558989702268472</v>
      </c>
      <c r="D143" s="38">
        <v>0.27062972292191434</v>
      </c>
      <c r="E143" s="43">
        <f t="shared" si="16"/>
        <v>-8.5039825899229621E-2</v>
      </c>
      <c r="F143" s="34"/>
      <c r="G143" s="45"/>
      <c r="H143" s="45"/>
      <c r="I143" s="56"/>
    </row>
    <row r="144" spans="1:9" x14ac:dyDescent="0.2">
      <c r="A144" s="31" t="s">
        <v>53</v>
      </c>
      <c r="B144" s="38"/>
      <c r="C144" s="38">
        <f>C116/C119</f>
        <v>0.28362250044290688</v>
      </c>
      <c r="D144" s="38">
        <v>0.38700251889168763</v>
      </c>
      <c r="E144" s="43">
        <f t="shared" si="16"/>
        <v>-0.10338001844878075</v>
      </c>
      <c r="F144" s="34"/>
      <c r="G144" s="45"/>
      <c r="H144" s="45"/>
      <c r="I144" s="56"/>
    </row>
    <row r="145" spans="1:9" x14ac:dyDescent="0.2">
      <c r="A145" s="31" t="s">
        <v>54</v>
      </c>
      <c r="B145" s="38"/>
      <c r="C145" s="38">
        <f>C117/C119</f>
        <v>0.38314372185683043</v>
      </c>
      <c r="D145" s="38">
        <v>0.50619647355163733</v>
      </c>
      <c r="E145" s="43">
        <f t="shared" si="16"/>
        <v>-0.12305275169480689</v>
      </c>
      <c r="F145" s="34"/>
      <c r="G145" s="45"/>
      <c r="H145" s="45"/>
      <c r="I145" s="56"/>
    </row>
    <row r="146" spans="1:9" x14ac:dyDescent="0.2">
      <c r="A146" s="31" t="s">
        <v>55</v>
      </c>
      <c r="B146" s="38"/>
      <c r="C146" s="38">
        <f>C118/C119</f>
        <v>0.48336082061254099</v>
      </c>
      <c r="D146" s="38">
        <v>0.62659949622166244</v>
      </c>
      <c r="E146" s="43">
        <f t="shared" si="16"/>
        <v>-0.14323867560912146</v>
      </c>
      <c r="F146" s="34"/>
      <c r="G146" s="45"/>
      <c r="H146" s="45"/>
      <c r="I146" s="56"/>
    </row>
    <row r="147" spans="1:9" x14ac:dyDescent="0.2">
      <c r="A147" s="31" t="s">
        <v>56</v>
      </c>
      <c r="B147" s="38"/>
      <c r="C147" s="38">
        <f>C119/C119</f>
        <v>1</v>
      </c>
      <c r="D147" s="38">
        <v>1</v>
      </c>
      <c r="E147" s="43">
        <f t="shared" si="16"/>
        <v>0</v>
      </c>
      <c r="F147" s="34"/>
      <c r="G147" s="45"/>
      <c r="H147" s="45"/>
      <c r="I147" s="56"/>
    </row>
    <row r="148" spans="1:9" x14ac:dyDescent="0.2">
      <c r="A148" s="31"/>
      <c r="B148" s="38"/>
      <c r="C148" s="38"/>
      <c r="D148" s="38"/>
      <c r="E148" s="31"/>
      <c r="F148" s="34"/>
      <c r="G148" s="45"/>
      <c r="H148" s="45"/>
      <c r="I148" s="56"/>
    </row>
    <row r="149" spans="1:9" x14ac:dyDescent="0.2">
      <c r="A149" s="21" t="s">
        <v>0</v>
      </c>
      <c r="B149" s="38"/>
      <c r="C149" s="38"/>
      <c r="D149" s="38"/>
      <c r="E149" s="31"/>
      <c r="F149" s="34"/>
      <c r="G149" s="45"/>
      <c r="H149" s="45"/>
      <c r="I149" s="56"/>
    </row>
    <row r="150" spans="1:9" x14ac:dyDescent="0.2">
      <c r="A150" s="31" t="s">
        <v>50</v>
      </c>
      <c r="B150" s="38"/>
      <c r="C150" s="38">
        <f>C122/C128</f>
        <v>0.27414144072833707</v>
      </c>
      <c r="D150" s="38">
        <v>0.29633300297324083</v>
      </c>
      <c r="E150" s="43">
        <f>+C150-D150</f>
        <v>-2.2191562244903762E-2</v>
      </c>
      <c r="F150" s="34"/>
      <c r="G150" s="45"/>
      <c r="H150" s="45"/>
      <c r="I150" s="56"/>
    </row>
    <row r="151" spans="1:9" x14ac:dyDescent="0.2">
      <c r="A151" s="31" t="s">
        <v>51</v>
      </c>
      <c r="B151" s="38"/>
      <c r="C151" s="38">
        <f>C123/C128</f>
        <v>0.46990230582001569</v>
      </c>
      <c r="D151" s="38">
        <v>0.49479682854311197</v>
      </c>
      <c r="E151" s="43">
        <f t="shared" ref="E151:E156" si="17">+C151-D151</f>
        <v>-2.489452272309628E-2</v>
      </c>
      <c r="F151" s="34"/>
      <c r="G151" s="45"/>
      <c r="H151" s="45"/>
      <c r="I151" s="56"/>
    </row>
    <row r="152" spans="1:9" x14ac:dyDescent="0.2">
      <c r="A152" s="31" t="s">
        <v>52</v>
      </c>
      <c r="B152" s="38"/>
      <c r="C152" s="38">
        <f>C124/C128</f>
        <v>0.57012246468432448</v>
      </c>
      <c r="D152" s="38">
        <v>0.57804757185332012</v>
      </c>
      <c r="E152" s="43">
        <f t="shared" si="17"/>
        <v>-7.9251071689956376E-3</v>
      </c>
      <c r="F152" s="34"/>
      <c r="G152" s="45"/>
      <c r="H152" s="45"/>
      <c r="I152" s="56"/>
    </row>
    <row r="153" spans="1:9" x14ac:dyDescent="0.2">
      <c r="A153" s="31" t="s">
        <v>53</v>
      </c>
      <c r="B153" s="38"/>
      <c r="C153" s="38">
        <f>C125/C128</f>
        <v>0.68664478888080205</v>
      </c>
      <c r="D153" s="38">
        <v>0.71531219028741333</v>
      </c>
      <c r="E153" s="43">
        <f t="shared" si="17"/>
        <v>-2.8667401406611281E-2</v>
      </c>
      <c r="F153" s="34"/>
      <c r="G153" s="45"/>
      <c r="H153" s="45"/>
      <c r="I153" s="56"/>
    </row>
    <row r="154" spans="1:9" x14ac:dyDescent="0.2">
      <c r="A154" s="31" t="s">
        <v>54</v>
      </c>
      <c r="B154" s="38"/>
      <c r="C154" s="38">
        <f>C126/C128</f>
        <v>0.78642340111350328</v>
      </c>
      <c r="D154" s="38">
        <v>0.81095143706640238</v>
      </c>
      <c r="E154" s="43">
        <f t="shared" si="17"/>
        <v>-2.4528035952899097E-2</v>
      </c>
      <c r="F154" s="34"/>
      <c r="G154" s="45"/>
      <c r="H154" s="45"/>
      <c r="I154" s="56"/>
    </row>
    <row r="155" spans="1:9" x14ac:dyDescent="0.2">
      <c r="A155" s="31" t="s">
        <v>55</v>
      </c>
      <c r="B155" s="38"/>
      <c r="C155" s="38">
        <f>C127/C128</f>
        <v>0.88167204767399165</v>
      </c>
      <c r="D155" s="38">
        <v>0.88949454905847369</v>
      </c>
      <c r="E155" s="43">
        <f t="shared" si="17"/>
        <v>-7.822501384482039E-3</v>
      </c>
      <c r="F155" s="34"/>
      <c r="G155" s="45"/>
      <c r="H155" s="45"/>
      <c r="I155" s="56"/>
    </row>
    <row r="156" spans="1:9" x14ac:dyDescent="0.2">
      <c r="A156" s="31" t="s">
        <v>57</v>
      </c>
      <c r="B156" s="38"/>
      <c r="C156" s="38">
        <f>C128/C128</f>
        <v>1</v>
      </c>
      <c r="D156" s="38">
        <v>1</v>
      </c>
      <c r="E156" s="43">
        <f t="shared" si="17"/>
        <v>0</v>
      </c>
      <c r="F156" s="34"/>
      <c r="G156" s="45"/>
      <c r="H156" s="45"/>
      <c r="I156" s="56"/>
    </row>
    <row r="157" spans="1:9" x14ac:dyDescent="0.2">
      <c r="A157" s="31"/>
      <c r="B157" s="38"/>
      <c r="C157" s="38"/>
      <c r="D157" s="38"/>
      <c r="E157" s="31"/>
      <c r="F157" s="34"/>
      <c r="G157" s="45"/>
      <c r="H157" s="45"/>
      <c r="I157" s="56"/>
    </row>
    <row r="158" spans="1:9" x14ac:dyDescent="0.2">
      <c r="A158" s="21" t="s">
        <v>58</v>
      </c>
      <c r="B158" s="38"/>
      <c r="C158" s="38"/>
      <c r="D158" s="38"/>
      <c r="E158" s="31"/>
      <c r="F158" s="34"/>
      <c r="G158" s="45"/>
      <c r="H158" s="45"/>
      <c r="I158" s="56"/>
    </row>
    <row r="159" spans="1:9" x14ac:dyDescent="0.2">
      <c r="A159" s="31" t="s">
        <v>50</v>
      </c>
      <c r="B159" s="38"/>
      <c r="C159" s="38">
        <f>C131/C137</f>
        <v>0.12073563394385864</v>
      </c>
      <c r="D159" s="38">
        <v>0.15636415729532269</v>
      </c>
      <c r="E159" s="43">
        <f>+C159-D159</f>
        <v>-3.5628523351464048E-2</v>
      </c>
      <c r="F159" s="34"/>
      <c r="G159" s="45"/>
      <c r="H159" s="45"/>
      <c r="I159" s="56"/>
    </row>
    <row r="160" spans="1:9" x14ac:dyDescent="0.2">
      <c r="A160" s="31" t="s">
        <v>51</v>
      </c>
      <c r="B160" s="38"/>
      <c r="C160" s="38">
        <f>C132/C137</f>
        <v>0.2295403630875672</v>
      </c>
      <c r="D160" s="38">
        <v>0.29568082515579114</v>
      </c>
      <c r="E160" s="43">
        <f t="shared" ref="E160:E165" si="18">+C160-D160</f>
        <v>-6.6140462068223937E-2</v>
      </c>
      <c r="F160" s="34"/>
      <c r="G160" s="45"/>
      <c r="H160" s="45"/>
      <c r="I160" s="56"/>
    </row>
    <row r="161" spans="1:9" x14ac:dyDescent="0.2">
      <c r="A161" s="31" t="s">
        <v>52</v>
      </c>
      <c r="B161" s="38"/>
      <c r="C161" s="38">
        <f>C133/C137</f>
        <v>0.29481428767406109</v>
      </c>
      <c r="D161" s="38">
        <v>0.35950146837619079</v>
      </c>
      <c r="E161" s="43">
        <f t="shared" si="18"/>
        <v>-6.4687180702129699E-2</v>
      </c>
      <c r="F161" s="34"/>
      <c r="G161" s="45"/>
      <c r="H161" s="45"/>
      <c r="I161" s="56"/>
    </row>
    <row r="162" spans="1:9" x14ac:dyDescent="0.2">
      <c r="A162" s="31" t="s">
        <v>53</v>
      </c>
      <c r="B162" s="38"/>
      <c r="C162" s="38">
        <f>C134/C137</f>
        <v>0.39809879601713916</v>
      </c>
      <c r="D162" s="38">
        <v>0.48191390301554332</v>
      </c>
      <c r="E162" s="43">
        <f t="shared" si="18"/>
        <v>-8.3815106998404165E-2</v>
      </c>
      <c r="F162" s="34"/>
      <c r="G162" s="45"/>
      <c r="H162" s="45"/>
      <c r="I162" s="56"/>
    </row>
    <row r="163" spans="1:9" x14ac:dyDescent="0.2">
      <c r="A163" s="31" t="s">
        <v>54</v>
      </c>
      <c r="B163" s="38"/>
      <c r="C163" s="38">
        <f>C135/C137</f>
        <v>0.49769312789739123</v>
      </c>
      <c r="D163" s="38">
        <v>0.59429840269321677</v>
      </c>
      <c r="E163" s="43">
        <f t="shared" si="18"/>
        <v>-9.6605274795825535E-2</v>
      </c>
      <c r="F163" s="34"/>
      <c r="G163" s="45"/>
      <c r="H163" s="45"/>
      <c r="I163" s="56"/>
    </row>
    <row r="164" spans="1:9" x14ac:dyDescent="0.2">
      <c r="A164" s="31" t="s">
        <v>55</v>
      </c>
      <c r="B164" s="38"/>
      <c r="C164" s="38">
        <f>C136/C137</f>
        <v>0.59649896474932163</v>
      </c>
      <c r="D164" s="38">
        <v>0.7026001002793496</v>
      </c>
      <c r="E164" s="43">
        <f t="shared" si="18"/>
        <v>-0.10610113553002798</v>
      </c>
      <c r="F164" s="34"/>
      <c r="G164" s="45"/>
      <c r="H164" s="45"/>
      <c r="I164" s="56"/>
    </row>
    <row r="165" spans="1:9" x14ac:dyDescent="0.2">
      <c r="A165" s="31" t="s">
        <v>59</v>
      </c>
      <c r="B165" s="38"/>
      <c r="C165" s="38">
        <f>C137/C137</f>
        <v>1</v>
      </c>
      <c r="D165" s="38">
        <v>1</v>
      </c>
      <c r="E165" s="43">
        <f t="shared" si="18"/>
        <v>0</v>
      </c>
      <c r="F165" s="34"/>
      <c r="G165" s="45"/>
      <c r="H165" s="45"/>
      <c r="I165" s="56"/>
    </row>
    <row r="166" spans="1:9" x14ac:dyDescent="0.2">
      <c r="A166" s="31"/>
      <c r="B166" s="38"/>
      <c r="C166" s="38"/>
      <c r="D166" s="31"/>
      <c r="E166" s="31"/>
      <c r="F166" s="34"/>
      <c r="G166" s="45"/>
      <c r="H166" s="45"/>
      <c r="I166" s="56"/>
    </row>
  </sheetData>
  <mergeCells count="1">
    <mergeCell ref="I2:I21"/>
  </mergeCells>
  <phoneticPr fontId="0" type="noConversion"/>
  <printOptions horizontalCentered="1" verticalCentered="1"/>
  <pageMargins left="0.75" right="0.75" top="0.75" bottom="0.75" header="0.5" footer="0.5"/>
  <pageSetup scale="64" orientation="landscape" horizontalDpi="4294967293" verticalDpi="300" r:id="rId1"/>
  <headerFooter alignWithMargins="0">
    <oddFooter>&amp;R&amp;P of &amp;N</oddFooter>
  </headerFooter>
  <rowBreaks count="4" manualBreakCount="4">
    <brk id="43" max="8" man="1"/>
    <brk id="77" max="8" man="1"/>
    <brk id="108" max="16383" man="1"/>
    <brk id="1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9"/>
  <sheetViews>
    <sheetView topLeftCell="A60" zoomScaleNormal="100" workbookViewId="0">
      <selection activeCell="H150" sqref="H150:H160"/>
    </sheetView>
  </sheetViews>
  <sheetFormatPr defaultRowHeight="12.75" x14ac:dyDescent="0.2"/>
  <cols>
    <col min="1" max="1" width="55.7109375" customWidth="1"/>
    <col min="4" max="6" width="11.7109375" customWidth="1"/>
    <col min="7" max="9" width="15.7109375" customWidth="1"/>
  </cols>
  <sheetData>
    <row r="1" spans="1:10" ht="78.75" x14ac:dyDescent="0.2">
      <c r="A1" s="171" t="s">
        <v>19</v>
      </c>
      <c r="B1" s="172">
        <v>1990</v>
      </c>
      <c r="C1" s="172">
        <v>2000</v>
      </c>
      <c r="D1" s="138" t="s">
        <v>80</v>
      </c>
      <c r="E1" s="137">
        <v>2010</v>
      </c>
      <c r="F1" s="138" t="s">
        <v>182</v>
      </c>
      <c r="G1" s="137" t="s">
        <v>183</v>
      </c>
      <c r="H1" s="137" t="s">
        <v>213</v>
      </c>
      <c r="I1" s="173" t="s">
        <v>184</v>
      </c>
    </row>
    <row r="2" spans="1:10" ht="12.75" customHeight="1" x14ac:dyDescent="0.2">
      <c r="A2" s="37" t="s">
        <v>28</v>
      </c>
      <c r="B2" s="40">
        <v>34891</v>
      </c>
      <c r="C2" s="40">
        <v>43080</v>
      </c>
      <c r="D2" s="40">
        <f>C2-B2</f>
        <v>8189</v>
      </c>
      <c r="E2" s="217">
        <v>44376</v>
      </c>
      <c r="F2" s="70">
        <f>E2-C2</f>
        <v>1296</v>
      </c>
      <c r="G2" s="37" t="s">
        <v>196</v>
      </c>
      <c r="H2" s="37"/>
      <c r="I2" s="250" t="s">
        <v>170</v>
      </c>
      <c r="J2" t="s">
        <v>195</v>
      </c>
    </row>
    <row r="3" spans="1:10" x14ac:dyDescent="0.2">
      <c r="A3" s="37" t="s">
        <v>33</v>
      </c>
      <c r="B3" s="43">
        <f>B2/'STATE TOTALS'!$B$2</f>
        <v>8.1141671763554038E-2</v>
      </c>
      <c r="C3" s="43">
        <f>C2/'STATE TOTALS'!$C$2</f>
        <v>8.135915875989605E-2</v>
      </c>
      <c r="D3" s="43">
        <f>D2/'STATE TOTALS'!$D$2</f>
        <v>8.2299026160015276E-2</v>
      </c>
      <c r="E3" s="43">
        <f>E2/'STATE TOTALS'!$E$2</f>
        <v>8.6438053312815913E-2</v>
      </c>
      <c r="F3" s="43">
        <f>F2/'STATE TOTALS'!$F$2</f>
        <v>-8.0402010050251257E-2</v>
      </c>
      <c r="G3" s="37" t="s">
        <v>40</v>
      </c>
      <c r="H3" s="37"/>
      <c r="I3" s="251"/>
    </row>
    <row r="4" spans="1:10" x14ac:dyDescent="0.2">
      <c r="A4" s="37" t="s">
        <v>29</v>
      </c>
      <c r="B4" s="139">
        <v>5359</v>
      </c>
      <c r="C4" s="40">
        <v>6035</v>
      </c>
      <c r="D4" s="40">
        <f>C4-B4</f>
        <v>676</v>
      </c>
      <c r="E4" s="40">
        <f>E5-E2</f>
        <v>6880</v>
      </c>
      <c r="F4" s="40">
        <f>E4-C4</f>
        <v>845</v>
      </c>
      <c r="G4" s="166" t="s">
        <v>188</v>
      </c>
      <c r="H4" s="166" t="s">
        <v>34</v>
      </c>
      <c r="I4" s="251"/>
    </row>
    <row r="5" spans="1:10" x14ac:dyDescent="0.2">
      <c r="A5" s="37" t="s">
        <v>30</v>
      </c>
      <c r="B5" s="139">
        <v>40250</v>
      </c>
      <c r="C5" s="40">
        <v>49115</v>
      </c>
      <c r="D5" s="40">
        <f>C5-B5</f>
        <v>8865</v>
      </c>
      <c r="E5" s="217">
        <v>51256</v>
      </c>
      <c r="F5" s="70">
        <f>E5-C5</f>
        <v>2141</v>
      </c>
      <c r="G5" s="217">
        <v>59074</v>
      </c>
      <c r="H5" s="194">
        <f>(E5-B5)/('STATE TOTALS'!E5-'STATE TOTALS'!B5)*('STATE TOTALS'!G5-'STATE TOTALS'!E5)+E5</f>
        <v>57563.841652225252</v>
      </c>
      <c r="I5" s="251"/>
    </row>
    <row r="6" spans="1:10" x14ac:dyDescent="0.2">
      <c r="A6" s="37" t="s">
        <v>33</v>
      </c>
      <c r="B6" s="43">
        <f>B5/'STATE TOTALS'!$B$5</f>
        <v>8.1242229004182209E-2</v>
      </c>
      <c r="C6" s="43">
        <f>C5/'STATE TOTALS'!$C$5</f>
        <v>8.10637732492024E-2</v>
      </c>
      <c r="D6" s="43">
        <f>D5/'STATE TOTALS'!$D$5</f>
        <v>8.0263288938786231E-2</v>
      </c>
      <c r="E6" s="43">
        <f>E5/'STATE TOTALS'!$E$5</f>
        <v>8.5362076029137951E-2</v>
      </c>
      <c r="F6" s="43">
        <f>F5/'STATE TOTALS'!$F$5</f>
        <v>-0.39450893679749399</v>
      </c>
      <c r="G6" s="37"/>
      <c r="H6" s="37"/>
      <c r="I6" s="251"/>
    </row>
    <row r="7" spans="1:10" x14ac:dyDescent="0.2">
      <c r="A7" s="37"/>
      <c r="B7" s="41"/>
      <c r="C7" s="41"/>
      <c r="D7" s="41"/>
      <c r="E7" s="141"/>
      <c r="F7" s="37"/>
      <c r="G7" s="37"/>
      <c r="H7" s="37"/>
      <c r="I7" s="251"/>
    </row>
    <row r="8" spans="1:10" x14ac:dyDescent="0.2">
      <c r="A8" s="37" t="s">
        <v>92</v>
      </c>
      <c r="B8" s="139">
        <v>40114</v>
      </c>
      <c r="C8" s="40">
        <v>45266</v>
      </c>
      <c r="D8" s="40">
        <f>C8-B8</f>
        <v>5152</v>
      </c>
      <c r="E8" s="217">
        <v>48730</v>
      </c>
      <c r="F8" s="70">
        <f>E8-C8</f>
        <v>3464</v>
      </c>
      <c r="G8" s="40">
        <f>G5*G9</f>
        <v>54444.542074722594</v>
      </c>
      <c r="H8" s="40">
        <f>H5*H9</f>
        <v>53052.730453621669</v>
      </c>
      <c r="I8" s="251"/>
    </row>
    <row r="9" spans="1:10" x14ac:dyDescent="0.2">
      <c r="A9" s="37" t="s">
        <v>173</v>
      </c>
      <c r="B9" s="191">
        <f>B8/B5</f>
        <v>0.99662111801242237</v>
      </c>
      <c r="C9" s="191">
        <f>C8/C5</f>
        <v>0.92163290237198414</v>
      </c>
      <c r="D9" s="191"/>
      <c r="E9" s="198">
        <f>E8/E5</f>
        <v>0.95071796472608083</v>
      </c>
      <c r="F9" s="199" t="s">
        <v>45</v>
      </c>
      <c r="G9" s="200">
        <f>+C9</f>
        <v>0.92163290237198414</v>
      </c>
      <c r="H9" s="201">
        <f>G9</f>
        <v>0.92163290237198414</v>
      </c>
      <c r="I9" s="251"/>
    </row>
    <row r="10" spans="1:10" x14ac:dyDescent="0.2">
      <c r="A10" s="37"/>
      <c r="B10" s="41"/>
      <c r="C10" s="41"/>
      <c r="D10" s="41"/>
      <c r="E10" s="141"/>
      <c r="F10" s="37"/>
      <c r="G10" s="37" t="s">
        <v>226</v>
      </c>
      <c r="H10" s="37"/>
      <c r="I10" s="251"/>
    </row>
    <row r="11" spans="1:10" x14ac:dyDescent="0.2">
      <c r="A11" s="37" t="s">
        <v>123</v>
      </c>
      <c r="B11" s="149">
        <f>B13/B8</f>
        <v>0.90080769806052752</v>
      </c>
      <c r="C11" s="149">
        <f>C13/C8</f>
        <v>0.91311359519285995</v>
      </c>
      <c r="D11" s="41"/>
      <c r="E11" s="200">
        <f>E13/E8</f>
        <v>0.91828442437923252</v>
      </c>
      <c r="F11" s="202" t="s">
        <v>45</v>
      </c>
      <c r="G11" s="200">
        <f>E11</f>
        <v>0.91828442437923252</v>
      </c>
      <c r="H11" s="201">
        <f>G11</f>
        <v>0.91828442437923252</v>
      </c>
      <c r="I11" s="251"/>
    </row>
    <row r="12" spans="1:10" x14ac:dyDescent="0.2">
      <c r="A12" s="37"/>
      <c r="B12" s="41"/>
      <c r="C12" s="41"/>
      <c r="D12" s="41"/>
      <c r="E12" s="141"/>
      <c r="F12" s="37"/>
      <c r="G12" s="37"/>
      <c r="H12" s="37"/>
      <c r="I12" s="251"/>
    </row>
    <row r="13" spans="1:10" x14ac:dyDescent="0.2">
      <c r="A13" s="37" t="s">
        <v>124</v>
      </c>
      <c r="B13" s="139">
        <v>36135</v>
      </c>
      <c r="C13" s="139">
        <v>41333</v>
      </c>
      <c r="D13" s="40">
        <f>C13-B13</f>
        <v>5198</v>
      </c>
      <c r="E13" s="217">
        <v>44748</v>
      </c>
      <c r="F13" s="70">
        <f>E13-C13</f>
        <v>3415</v>
      </c>
      <c r="G13" s="40">
        <f>G11*G8</f>
        <v>49995.574979677542</v>
      </c>
      <c r="H13" s="40">
        <f>H11*H8</f>
        <v>48717.496046350556</v>
      </c>
      <c r="I13" s="251"/>
    </row>
    <row r="14" spans="1:10" x14ac:dyDescent="0.2">
      <c r="A14" s="37" t="s">
        <v>25</v>
      </c>
      <c r="B14" s="139">
        <v>30452</v>
      </c>
      <c r="C14" s="139">
        <v>33872</v>
      </c>
      <c r="D14" s="40">
        <f>C14-B14</f>
        <v>3420</v>
      </c>
      <c r="E14" s="40">
        <v>36426</v>
      </c>
      <c r="F14" s="70">
        <f>E14-C14</f>
        <v>2554</v>
      </c>
      <c r="G14" s="40">
        <f>G13-G15</f>
        <v>40697.658313438238</v>
      </c>
      <c r="H14" s="40">
        <f>H13-H15</f>
        <v>39657.269844112932</v>
      </c>
      <c r="I14" s="251"/>
    </row>
    <row r="15" spans="1:10" x14ac:dyDescent="0.2">
      <c r="A15" s="37" t="s">
        <v>26</v>
      </c>
      <c r="B15" s="139">
        <f>B13-B14</f>
        <v>5683</v>
      </c>
      <c r="C15" s="139">
        <f>C13-C14</f>
        <v>7461</v>
      </c>
      <c r="D15" s="40">
        <f>C15-B15</f>
        <v>1778</v>
      </c>
      <c r="E15" s="139">
        <f>E13-E14</f>
        <v>8322</v>
      </c>
      <c r="F15" s="70">
        <f>E15-C15</f>
        <v>861</v>
      </c>
      <c r="G15" s="40">
        <f>G16*G13</f>
        <v>9297.9166662393072</v>
      </c>
      <c r="H15" s="40">
        <f>H16*H13</f>
        <v>9060.2262022376271</v>
      </c>
      <c r="I15" s="251"/>
    </row>
    <row r="16" spans="1:10" x14ac:dyDescent="0.2">
      <c r="A16" s="37" t="s">
        <v>27</v>
      </c>
      <c r="B16" s="43">
        <f>B15/B13</f>
        <v>0.15727134357271344</v>
      </c>
      <c r="C16" s="43">
        <f>C15/C13</f>
        <v>0.18050952023806643</v>
      </c>
      <c r="D16" s="37"/>
      <c r="E16" s="204">
        <f>E15/E13</f>
        <v>0.18597479216948243</v>
      </c>
      <c r="F16" s="202" t="s">
        <v>45</v>
      </c>
      <c r="G16" s="203">
        <f>E16</f>
        <v>0.18597479216948243</v>
      </c>
      <c r="H16" s="204">
        <f>G16</f>
        <v>0.18597479216948243</v>
      </c>
      <c r="I16" s="251"/>
    </row>
    <row r="17" spans="1:9" x14ac:dyDescent="0.2">
      <c r="A17" s="37"/>
      <c r="B17" s="41"/>
      <c r="C17" s="41"/>
      <c r="D17" s="41"/>
      <c r="E17" s="141"/>
      <c r="F17" s="37"/>
      <c r="G17" s="37"/>
      <c r="H17" s="37"/>
      <c r="I17" s="251"/>
    </row>
    <row r="18" spans="1:9" x14ac:dyDescent="0.2">
      <c r="A18" s="37" t="s">
        <v>31</v>
      </c>
      <c r="B18" s="41">
        <f>B2/B55</f>
        <v>1.266828843221262</v>
      </c>
      <c r="C18" s="41">
        <f>C2/C55</f>
        <v>1.3633774289511995</v>
      </c>
      <c r="D18" s="41"/>
      <c r="E18" s="41">
        <f>E2/E55</f>
        <v>1.2331462235313733</v>
      </c>
      <c r="F18" s="37"/>
      <c r="G18" s="41"/>
      <c r="H18" s="41"/>
      <c r="I18" s="251"/>
    </row>
    <row r="19" spans="1:9" x14ac:dyDescent="0.2">
      <c r="A19" s="37"/>
      <c r="B19" s="40"/>
      <c r="C19" s="40"/>
      <c r="D19" s="37"/>
      <c r="E19" s="37"/>
      <c r="F19" s="37"/>
      <c r="G19" s="37"/>
      <c r="H19" s="37"/>
      <c r="I19" s="251"/>
    </row>
    <row r="20" spans="1:9" x14ac:dyDescent="0.2">
      <c r="A20" s="37" t="s">
        <v>128</v>
      </c>
      <c r="B20" s="41">
        <f>B24/B8</f>
        <v>1.6364112280001994</v>
      </c>
      <c r="C20" s="41">
        <f>C24/C8</f>
        <v>1.5633588123536428</v>
      </c>
      <c r="D20" s="37"/>
      <c r="E20" s="41">
        <f>E24/E8</f>
        <v>1.545392981736097</v>
      </c>
      <c r="F20" s="140" t="s">
        <v>46</v>
      </c>
      <c r="G20" s="205">
        <f>+E20</f>
        <v>1.545392981736097</v>
      </c>
      <c r="H20" s="41">
        <f>H24/H8</f>
        <v>1.3691863713594494</v>
      </c>
      <c r="I20" s="251"/>
    </row>
    <row r="21" spans="1:9" x14ac:dyDescent="0.2">
      <c r="A21" s="37" t="s">
        <v>94</v>
      </c>
      <c r="B21" s="41">
        <f>B29/B8</f>
        <v>0.53819115520765815</v>
      </c>
      <c r="C21" s="41">
        <f>C29/C8</f>
        <v>0.5487562408872001</v>
      </c>
      <c r="D21" s="37"/>
      <c r="E21" s="205">
        <f>E29/E8</f>
        <v>0.55514057049045762</v>
      </c>
      <c r="F21" s="202" t="s">
        <v>45</v>
      </c>
      <c r="G21" s="205">
        <f>AVERAGE(B21:E21)</f>
        <v>0.54736265552843866</v>
      </c>
      <c r="H21" s="206">
        <f>G21</f>
        <v>0.54736265552843866</v>
      </c>
      <c r="I21" s="252"/>
    </row>
    <row r="22" spans="1:9" x14ac:dyDescent="0.2">
      <c r="A22" s="37"/>
      <c r="B22" s="37"/>
      <c r="C22" s="37"/>
      <c r="D22" s="37"/>
      <c r="E22" s="37"/>
      <c r="F22" s="37"/>
      <c r="G22" s="37"/>
      <c r="H22" s="37"/>
      <c r="I22" s="161"/>
    </row>
    <row r="23" spans="1:9" x14ac:dyDescent="0.2">
      <c r="A23" s="64" t="s">
        <v>98</v>
      </c>
      <c r="B23" s="41"/>
      <c r="C23" s="41"/>
      <c r="D23" s="37"/>
      <c r="E23" s="37"/>
      <c r="F23" s="37"/>
      <c r="G23" s="37"/>
      <c r="H23" s="37"/>
      <c r="I23" s="159"/>
    </row>
    <row r="24" spans="1:9" x14ac:dyDescent="0.2">
      <c r="A24" s="37" t="s">
        <v>99</v>
      </c>
      <c r="B24" s="40">
        <v>65643</v>
      </c>
      <c r="C24" s="40">
        <v>70767</v>
      </c>
      <c r="D24" s="40">
        <f>C24-B24</f>
        <v>5124</v>
      </c>
      <c r="E24" s="217">
        <f>68808+6499</f>
        <v>75307</v>
      </c>
      <c r="F24" s="70">
        <f>E24-C24</f>
        <v>4540</v>
      </c>
      <c r="G24" s="40">
        <f>+G20*G8</f>
        <v>84138.213216111937</v>
      </c>
      <c r="H24" s="40">
        <f>H25+H26</f>
        <v>72639.075500505205</v>
      </c>
      <c r="I24" s="217">
        <f>64835+6175</f>
        <v>71010</v>
      </c>
    </row>
    <row r="25" spans="1:9" x14ac:dyDescent="0.2">
      <c r="A25" s="37" t="s">
        <v>97</v>
      </c>
      <c r="B25" s="40">
        <v>5184</v>
      </c>
      <c r="C25" s="40">
        <v>5379</v>
      </c>
      <c r="D25" s="40">
        <f>C25-B25</f>
        <v>195</v>
      </c>
      <c r="E25" s="217">
        <v>6499</v>
      </c>
      <c r="F25" s="70">
        <f>E25-C25</f>
        <v>1120</v>
      </c>
      <c r="G25" s="207">
        <f>I25</f>
        <v>6175</v>
      </c>
      <c r="H25" s="207">
        <f>I25</f>
        <v>6175</v>
      </c>
      <c r="I25" s="217">
        <v>6175</v>
      </c>
    </row>
    <row r="26" spans="1:9" x14ac:dyDescent="0.2">
      <c r="A26" s="37" t="s">
        <v>95</v>
      </c>
      <c r="B26" s="40">
        <f>B24-B25</f>
        <v>60459</v>
      </c>
      <c r="C26" s="40">
        <f>C24-C25</f>
        <v>65388</v>
      </c>
      <c r="D26" s="40">
        <f>C26-B26</f>
        <v>4929</v>
      </c>
      <c r="E26" s="40">
        <f>E24-E25</f>
        <v>68808</v>
      </c>
      <c r="F26" s="70">
        <f>E26-C26</f>
        <v>3420</v>
      </c>
      <c r="G26" s="40">
        <f>G24-G25</f>
        <v>77963.213216111937</v>
      </c>
      <c r="H26" s="154">
        <f>H29*H27</f>
        <v>66464.075500505205</v>
      </c>
      <c r="I26" s="40">
        <f>I24-I25</f>
        <v>64835</v>
      </c>
    </row>
    <row r="27" spans="1:9" x14ac:dyDescent="0.2">
      <c r="A27" s="37" t="s">
        <v>111</v>
      </c>
      <c r="B27" s="142">
        <f>B26/B29</f>
        <v>2.8004539348742417</v>
      </c>
      <c r="C27" s="142">
        <f>C26/C29</f>
        <v>2.632367149758454</v>
      </c>
      <c r="D27" s="41"/>
      <c r="E27" s="142">
        <f>E26/E29</f>
        <v>2.5435457637143282</v>
      </c>
      <c r="F27" s="37"/>
      <c r="G27" s="142">
        <f>G26/G29</f>
        <v>2.6161353963565257</v>
      </c>
      <c r="H27" s="208">
        <f>I27</f>
        <v>2.41</v>
      </c>
      <c r="I27" s="208">
        <v>2.41</v>
      </c>
    </row>
    <row r="28" spans="1:9" x14ac:dyDescent="0.2">
      <c r="A28" s="37"/>
      <c r="B28" s="40"/>
      <c r="C28" s="40"/>
      <c r="D28" s="37"/>
      <c r="E28" s="37"/>
      <c r="F28" s="37"/>
      <c r="G28" s="159"/>
      <c r="H28" s="159"/>
      <c r="I28" s="159"/>
    </row>
    <row r="29" spans="1:9" x14ac:dyDescent="0.2">
      <c r="A29" s="37" t="s">
        <v>100</v>
      </c>
      <c r="B29" s="40">
        <v>21589</v>
      </c>
      <c r="C29" s="40">
        <v>24840</v>
      </c>
      <c r="D29" s="40">
        <f>C29-B29</f>
        <v>3251</v>
      </c>
      <c r="E29" s="217">
        <v>27052</v>
      </c>
      <c r="F29" s="70">
        <f>E29-C29</f>
        <v>2212</v>
      </c>
      <c r="G29" s="154">
        <f>G8*G21</f>
        <v>29800.909129049967</v>
      </c>
      <c r="H29" s="223">
        <f>+AVERAGE(G29,I29)</f>
        <v>27578.454564524982</v>
      </c>
      <c r="I29" s="217">
        <v>25356</v>
      </c>
    </row>
    <row r="30" spans="1:9" x14ac:dyDescent="0.2">
      <c r="A30" s="37" t="s">
        <v>101</v>
      </c>
      <c r="B30" s="40">
        <v>13859</v>
      </c>
      <c r="C30" s="40">
        <v>16261</v>
      </c>
      <c r="D30" s="40">
        <f>C30-B30</f>
        <v>2402</v>
      </c>
      <c r="E30" s="217">
        <v>17672</v>
      </c>
      <c r="F30" s="70">
        <f>E30-C30</f>
        <v>1411</v>
      </c>
      <c r="G30" s="154">
        <f>G29*G32</f>
        <v>19522.606529262786</v>
      </c>
      <c r="H30" s="154">
        <f>H29*H32</f>
        <v>18066.674235234532</v>
      </c>
      <c r="I30" s="217">
        <v>16610.741941206274</v>
      </c>
    </row>
    <row r="31" spans="1:9" x14ac:dyDescent="0.2">
      <c r="A31" s="37" t="s">
        <v>102</v>
      </c>
      <c r="B31" s="40">
        <v>7730</v>
      </c>
      <c r="C31" s="40">
        <v>8579</v>
      </c>
      <c r="D31" s="40">
        <f>C31-B31</f>
        <v>849</v>
      </c>
      <c r="E31" s="217">
        <v>9380</v>
      </c>
      <c r="F31" s="70">
        <f>E31-C31</f>
        <v>801</v>
      </c>
      <c r="G31" s="154">
        <f>G29-G30</f>
        <v>10278.302599787181</v>
      </c>
      <c r="H31" s="154">
        <f>H29-H30</f>
        <v>9511.78032929045</v>
      </c>
      <c r="I31" s="217">
        <v>8745.4441574731554</v>
      </c>
    </row>
    <row r="32" spans="1:9" x14ac:dyDescent="0.2">
      <c r="A32" s="37" t="s">
        <v>103</v>
      </c>
      <c r="B32" s="43">
        <f>B30/B29</f>
        <v>0.64194728797072587</v>
      </c>
      <c r="C32" s="43">
        <f>C30/C29</f>
        <v>0.65462962962962967</v>
      </c>
      <c r="D32" s="42"/>
      <c r="E32" s="43">
        <f>E30/E29</f>
        <v>0.65326038740204051</v>
      </c>
      <c r="F32" s="37"/>
      <c r="G32" s="203">
        <f>H32</f>
        <v>0.65510103885495641</v>
      </c>
      <c r="H32" s="203">
        <f>I32</f>
        <v>0.65510103885495641</v>
      </c>
      <c r="I32" s="203">
        <f>I30/I29</f>
        <v>0.65510103885495641</v>
      </c>
    </row>
    <row r="33" spans="1:9" x14ac:dyDescent="0.2">
      <c r="A33" s="37" t="s">
        <v>104</v>
      </c>
      <c r="B33" s="43">
        <f>B31/B29</f>
        <v>0.35805271202927419</v>
      </c>
      <c r="C33" s="43">
        <f>C31/C29</f>
        <v>0.34537037037037038</v>
      </c>
      <c r="D33" s="42"/>
      <c r="E33" s="43">
        <f>E31/E29</f>
        <v>0.34673961259795949</v>
      </c>
      <c r="F33" s="37"/>
      <c r="G33" s="203">
        <f>1-G32</f>
        <v>0.34489896114504359</v>
      </c>
      <c r="H33" s="203">
        <f>1-H32</f>
        <v>0.34489896114504359</v>
      </c>
      <c r="I33" s="203">
        <f>I31/I29</f>
        <v>0.34490630057868571</v>
      </c>
    </row>
    <row r="34" spans="1:9" x14ac:dyDescent="0.2">
      <c r="A34" s="37"/>
      <c r="B34" s="40"/>
      <c r="C34" s="40"/>
      <c r="D34" s="37"/>
      <c r="E34" s="37"/>
      <c r="F34" s="37"/>
      <c r="G34" s="159"/>
      <c r="H34" s="159"/>
      <c r="I34" s="159"/>
    </row>
    <row r="35" spans="1:9" x14ac:dyDescent="0.2">
      <c r="A35" s="64" t="s">
        <v>171</v>
      </c>
      <c r="B35" s="43"/>
      <c r="C35" s="43"/>
      <c r="D35" s="37"/>
      <c r="E35" s="37"/>
      <c r="F35" s="37"/>
      <c r="G35" s="154"/>
      <c r="H35" s="154"/>
      <c r="I35" s="154"/>
    </row>
    <row r="36" spans="1:9" x14ac:dyDescent="0.2">
      <c r="A36" s="37" t="s">
        <v>105</v>
      </c>
      <c r="B36" s="40">
        <v>9286</v>
      </c>
      <c r="C36" s="40">
        <v>10973</v>
      </c>
      <c r="D36" s="40">
        <f>C36-B36</f>
        <v>1687</v>
      </c>
      <c r="E36" s="217">
        <f>13309+502</f>
        <v>13811</v>
      </c>
      <c r="F36" s="70">
        <f>E36-C36</f>
        <v>2838</v>
      </c>
      <c r="G36" s="210">
        <f>I36</f>
        <v>20604</v>
      </c>
      <c r="H36" s="210">
        <f>I36</f>
        <v>20604</v>
      </c>
      <c r="I36" s="217">
        <f>19989+615</f>
        <v>20604</v>
      </c>
    </row>
    <row r="37" spans="1:9" x14ac:dyDescent="0.2">
      <c r="A37" s="37" t="s">
        <v>106</v>
      </c>
      <c r="B37" s="43">
        <f>B36/B50</f>
        <v>0.1239306543527873</v>
      </c>
      <c r="C37" s="43">
        <f>C36/C50</f>
        <v>0.13424272082211891</v>
      </c>
      <c r="D37" s="43"/>
      <c r="E37" s="43">
        <f>E36/E50</f>
        <v>0.15497430373213045</v>
      </c>
      <c r="F37" s="43"/>
      <c r="G37" s="195">
        <f>G36/G50</f>
        <v>0.19671152028732</v>
      </c>
      <c r="H37" s="195">
        <f>H36/H50</f>
        <v>0.2209708323047363</v>
      </c>
      <c r="I37" s="195">
        <f>I36/I50</f>
        <v>0.22490012443512999</v>
      </c>
    </row>
    <row r="38" spans="1:9" x14ac:dyDescent="0.2">
      <c r="A38" s="37" t="s">
        <v>107</v>
      </c>
      <c r="B38" s="70">
        <v>566</v>
      </c>
      <c r="C38" s="70">
        <v>1009</v>
      </c>
      <c r="D38" s="40">
        <f>C38-B38</f>
        <v>443</v>
      </c>
      <c r="E38" s="217">
        <v>502</v>
      </c>
      <c r="F38" s="70">
        <f>E38-C38</f>
        <v>-507</v>
      </c>
      <c r="G38" s="154">
        <f>I38</f>
        <v>615</v>
      </c>
      <c r="H38" s="154">
        <f>I38</f>
        <v>615</v>
      </c>
      <c r="I38" s="217">
        <v>615</v>
      </c>
    </row>
    <row r="39" spans="1:9" x14ac:dyDescent="0.2">
      <c r="A39" s="37" t="s">
        <v>108</v>
      </c>
      <c r="B39" s="40">
        <f>B36-B38</f>
        <v>8720</v>
      </c>
      <c r="C39" s="40">
        <f>C36-C38</f>
        <v>9964</v>
      </c>
      <c r="D39" s="40">
        <f>C39-B39</f>
        <v>1244</v>
      </c>
      <c r="E39" s="40">
        <f>E36-E38</f>
        <v>13309</v>
      </c>
      <c r="F39" s="70">
        <f>E39-C39</f>
        <v>3345</v>
      </c>
      <c r="G39" s="154">
        <f>G36-G38</f>
        <v>19989</v>
      </c>
      <c r="H39" s="154">
        <f>H36-H38</f>
        <v>19989</v>
      </c>
      <c r="I39" s="154">
        <f>I36-I38</f>
        <v>19989</v>
      </c>
    </row>
    <row r="40" spans="1:9" x14ac:dyDescent="0.2">
      <c r="A40" s="37"/>
      <c r="B40" s="40"/>
      <c r="C40" s="40"/>
      <c r="D40" s="40"/>
      <c r="E40" s="40"/>
      <c r="F40" s="70"/>
      <c r="G40" s="154"/>
      <c r="H40" s="154"/>
      <c r="I40" s="154"/>
    </row>
    <row r="41" spans="1:9" x14ac:dyDescent="0.2">
      <c r="A41" s="37" t="s">
        <v>109</v>
      </c>
      <c r="B41" s="40">
        <v>5953</v>
      </c>
      <c r="C41" s="40">
        <v>6758</v>
      </c>
      <c r="D41" s="40">
        <f>C41-B41</f>
        <v>805</v>
      </c>
      <c r="E41" s="217">
        <v>8934</v>
      </c>
      <c r="F41" s="70">
        <f>E41-C41</f>
        <v>2176</v>
      </c>
      <c r="G41" s="207">
        <f>G39/G43</f>
        <v>13273</v>
      </c>
      <c r="H41" s="207">
        <f>H39/H43</f>
        <v>13273</v>
      </c>
      <c r="I41" s="217">
        <v>13273</v>
      </c>
    </row>
    <row r="42" spans="1:9" x14ac:dyDescent="0.2">
      <c r="A42" s="37" t="s">
        <v>110</v>
      </c>
      <c r="B42" s="43">
        <f>B41/B55</f>
        <v>0.21614261854622033</v>
      </c>
      <c r="C42" s="43">
        <f>C41/C55</f>
        <v>0.21387429584150897</v>
      </c>
      <c r="D42" s="42"/>
      <c r="E42" s="43">
        <f>E41/E55</f>
        <v>0.24826321347190575</v>
      </c>
      <c r="F42" s="37"/>
      <c r="G42" s="43">
        <f>G41/G55</f>
        <v>0.30814477414236835</v>
      </c>
      <c r="H42" s="43">
        <f>H41/H55</f>
        <v>0.32490887145854896</v>
      </c>
      <c r="I42" s="195">
        <f>I41/I55</f>
        <v>0.34360195707887858</v>
      </c>
    </row>
    <row r="43" spans="1:9" x14ac:dyDescent="0.2">
      <c r="A43" s="37" t="s">
        <v>112</v>
      </c>
      <c r="B43" s="142">
        <f>B39/B41</f>
        <v>1.4648076600033597</v>
      </c>
      <c r="C43" s="142">
        <f>C39/C41</f>
        <v>1.4744007102693104</v>
      </c>
      <c r="D43" s="37"/>
      <c r="E43" s="142">
        <f>E39/E41</f>
        <v>1.4897022610252966</v>
      </c>
      <c r="F43" s="37"/>
      <c r="G43" s="209">
        <f>H43</f>
        <v>1.5059896029533639</v>
      </c>
      <c r="H43" s="209">
        <f>I43</f>
        <v>1.5059896029533639</v>
      </c>
      <c r="I43" s="209">
        <f>I39/I41</f>
        <v>1.5059896029533639</v>
      </c>
    </row>
    <row r="44" spans="1:9" x14ac:dyDescent="0.2">
      <c r="A44" s="37"/>
      <c r="B44" s="142"/>
      <c r="C44" s="142"/>
      <c r="D44" s="42"/>
      <c r="E44" s="42"/>
      <c r="F44" s="37"/>
      <c r="G44" s="37"/>
      <c r="H44" s="37"/>
      <c r="I44" s="37"/>
    </row>
    <row r="45" spans="1:9" x14ac:dyDescent="0.2">
      <c r="A45" s="37" t="s">
        <v>113</v>
      </c>
      <c r="B45" s="40">
        <v>4641</v>
      </c>
      <c r="C45" s="40">
        <v>5416</v>
      </c>
      <c r="D45" s="40">
        <f>C45-B45</f>
        <v>775</v>
      </c>
      <c r="E45" s="217">
        <v>6872</v>
      </c>
      <c r="F45" s="70">
        <f>E45-C45</f>
        <v>1456</v>
      </c>
      <c r="G45" s="207">
        <f>G47*G41</f>
        <v>10327.306180375619</v>
      </c>
      <c r="H45" s="207">
        <f>H47*H41</f>
        <v>10327.306180375619</v>
      </c>
      <c r="I45" s="217">
        <v>10327.306180375619</v>
      </c>
    </row>
    <row r="46" spans="1:9" x14ac:dyDescent="0.2">
      <c r="A46" s="37" t="s">
        <v>114</v>
      </c>
      <c r="B46" s="40">
        <v>1312</v>
      </c>
      <c r="C46" s="40">
        <v>1342</v>
      </c>
      <c r="D46" s="40">
        <f>C46-B46</f>
        <v>30</v>
      </c>
      <c r="E46" s="217">
        <v>2062</v>
      </c>
      <c r="F46" s="70">
        <f>E46-C46</f>
        <v>720</v>
      </c>
      <c r="G46" s="40">
        <f>G41-G45</f>
        <v>2945.6938196243809</v>
      </c>
      <c r="H46" s="40">
        <f>H41-H45</f>
        <v>2945.6938196243809</v>
      </c>
      <c r="I46" s="217">
        <v>2945.8715395064869</v>
      </c>
    </row>
    <row r="47" spans="1:9" x14ac:dyDescent="0.2">
      <c r="A47" s="37" t="s">
        <v>115</v>
      </c>
      <c r="B47" s="43">
        <f>B45/B41</f>
        <v>0.77960692088022843</v>
      </c>
      <c r="C47" s="43">
        <f>C45/C41</f>
        <v>0.8014205386208938</v>
      </c>
      <c r="D47" s="37"/>
      <c r="E47" s="43">
        <f>E45/E41</f>
        <v>0.76919632863219167</v>
      </c>
      <c r="F47" s="37"/>
      <c r="G47" s="211">
        <f>H47</f>
        <v>0.77806872450656361</v>
      </c>
      <c r="H47" s="211">
        <f>I47</f>
        <v>0.77806872450656361</v>
      </c>
      <c r="I47" s="211">
        <f>I45/I41</f>
        <v>0.77806872450656361</v>
      </c>
    </row>
    <row r="48" spans="1:9" x14ac:dyDescent="0.2">
      <c r="A48" s="37" t="s">
        <v>116</v>
      </c>
      <c r="B48" s="43">
        <f>1-B47</f>
        <v>0.22039307911977157</v>
      </c>
      <c r="C48" s="43">
        <f>1-C47</f>
        <v>0.1985794613791062</v>
      </c>
      <c r="D48" s="37"/>
      <c r="E48" s="43">
        <f>1-E47</f>
        <v>0.23080367136780833</v>
      </c>
      <c r="F48" s="37"/>
      <c r="G48" s="211">
        <f>1-G47</f>
        <v>0.22193127549343639</v>
      </c>
      <c r="H48" s="211">
        <f>1-H47</f>
        <v>0.22193127549343639</v>
      </c>
      <c r="I48" s="211">
        <f>1-I47</f>
        <v>0.22193127549343639</v>
      </c>
    </row>
    <row r="49" spans="1:9" x14ac:dyDescent="0.2">
      <c r="A49" s="37"/>
      <c r="B49" s="43"/>
      <c r="C49" s="43"/>
      <c r="D49" s="37"/>
      <c r="E49" s="37"/>
      <c r="F49" s="37"/>
      <c r="G49" s="37"/>
      <c r="H49" s="37"/>
      <c r="I49" s="37"/>
    </row>
    <row r="50" spans="1:9" x14ac:dyDescent="0.2">
      <c r="A50" s="64" t="s">
        <v>129</v>
      </c>
      <c r="B50" s="40">
        <f>B24+B36</f>
        <v>74929</v>
      </c>
      <c r="C50" s="40">
        <f>C24+C36</f>
        <v>81740</v>
      </c>
      <c r="D50" s="40">
        <f>C50-B50</f>
        <v>6811</v>
      </c>
      <c r="E50" s="40">
        <f>E24+E36</f>
        <v>89118</v>
      </c>
      <c r="F50" s="70">
        <f>E50-C50</f>
        <v>7378</v>
      </c>
      <c r="G50" s="40">
        <f>G24+I36</f>
        <v>104742.21321611194</v>
      </c>
      <c r="H50" s="40">
        <f>H24+I36</f>
        <v>93243.075500505205</v>
      </c>
      <c r="I50" s="40">
        <f>I24+I36</f>
        <v>91614</v>
      </c>
    </row>
    <row r="51" spans="1:9" x14ac:dyDescent="0.2">
      <c r="A51" s="37" t="s">
        <v>96</v>
      </c>
      <c r="B51" s="40">
        <f>B25+B38</f>
        <v>5750</v>
      </c>
      <c r="C51" s="40">
        <f>C25+C38</f>
        <v>6388</v>
      </c>
      <c r="D51" s="40">
        <f>C51-B51</f>
        <v>638</v>
      </c>
      <c r="E51" s="40">
        <f>E25+E38</f>
        <v>7001</v>
      </c>
      <c r="F51" s="70">
        <f>E51-C51</f>
        <v>613</v>
      </c>
      <c r="G51" s="212">
        <f>G25+G38</f>
        <v>6790</v>
      </c>
      <c r="H51" s="212">
        <f>H25+H38</f>
        <v>6790</v>
      </c>
      <c r="I51" s="212">
        <f>I25+I38</f>
        <v>6790</v>
      </c>
    </row>
    <row r="52" spans="1:9" x14ac:dyDescent="0.2">
      <c r="A52" s="37" t="s">
        <v>95</v>
      </c>
      <c r="B52" s="40">
        <f>B50-B51</f>
        <v>69179</v>
      </c>
      <c r="C52" s="40">
        <f>C50-C51</f>
        <v>75352</v>
      </c>
      <c r="D52" s="40">
        <f>C52-B52</f>
        <v>6173</v>
      </c>
      <c r="E52" s="40">
        <f>E50-E51</f>
        <v>82117</v>
      </c>
      <c r="F52" s="70">
        <f>E52-C52</f>
        <v>6765</v>
      </c>
      <c r="G52" s="40">
        <f>G50-G51</f>
        <v>97952.213216111937</v>
      </c>
      <c r="H52" s="40">
        <f>H50-H51</f>
        <v>86453.075500505205</v>
      </c>
      <c r="I52" s="40">
        <f>I50-I51</f>
        <v>84824</v>
      </c>
    </row>
    <row r="53" spans="1:9" x14ac:dyDescent="0.2">
      <c r="A53" s="37" t="s">
        <v>126</v>
      </c>
      <c r="B53" s="142">
        <f>B52/B55</f>
        <v>2.5117638515721445</v>
      </c>
      <c r="C53" s="142">
        <f>C52/C55</f>
        <v>2.3847078929046144</v>
      </c>
      <c r="D53" s="37"/>
      <c r="E53" s="142">
        <f>E52/E55</f>
        <v>2.28191518924026</v>
      </c>
      <c r="F53" s="37"/>
      <c r="G53" s="142">
        <f>G52/G55</f>
        <v>2.2740497715832082</v>
      </c>
      <c r="H53" s="142">
        <f>H52/H55</f>
        <v>2.1162790021087825</v>
      </c>
      <c r="I53" s="142">
        <f>I52/I55</f>
        <v>2.1958632115767944</v>
      </c>
    </row>
    <row r="54" spans="1:9" x14ac:dyDescent="0.2">
      <c r="A54" s="37"/>
      <c r="B54" s="43"/>
      <c r="C54" s="43"/>
      <c r="D54" s="37"/>
      <c r="E54" s="37"/>
      <c r="F54" s="37"/>
      <c r="G54" s="37"/>
      <c r="H54" s="37"/>
      <c r="I54" s="37"/>
    </row>
    <row r="55" spans="1:9" x14ac:dyDescent="0.2">
      <c r="A55" s="64" t="s">
        <v>58</v>
      </c>
      <c r="B55" s="40">
        <v>27542</v>
      </c>
      <c r="C55" s="40">
        <v>31598</v>
      </c>
      <c r="D55" s="40">
        <f>C55-B55</f>
        <v>4056</v>
      </c>
      <c r="E55" s="40">
        <f>E29+E41</f>
        <v>35986</v>
      </c>
      <c r="F55" s="70">
        <f>E55-C55</f>
        <v>4388</v>
      </c>
      <c r="G55" s="40">
        <f>G29+G41</f>
        <v>43073.909129049964</v>
      </c>
      <c r="H55" s="40">
        <f>H29+H41</f>
        <v>40851.454564524982</v>
      </c>
      <c r="I55" s="40">
        <f>I29+I41</f>
        <v>38629</v>
      </c>
    </row>
    <row r="56" spans="1:9" x14ac:dyDescent="0.2">
      <c r="A56" s="37" t="s">
        <v>101</v>
      </c>
      <c r="B56" s="40">
        <v>18500</v>
      </c>
      <c r="C56" s="40">
        <v>21677</v>
      </c>
      <c r="D56" s="40">
        <f>C56-B56</f>
        <v>3177</v>
      </c>
      <c r="E56" s="40">
        <f>E30+E45</f>
        <v>24544</v>
      </c>
      <c r="F56" s="70">
        <f>E56-C56</f>
        <v>2867</v>
      </c>
      <c r="G56" s="40">
        <f>G30+G45</f>
        <v>29849.912709638404</v>
      </c>
      <c r="H56" s="40">
        <f>H30+H45</f>
        <v>28393.980415610153</v>
      </c>
      <c r="I56" s="40">
        <f>I30+I45</f>
        <v>26938.048121581895</v>
      </c>
    </row>
    <row r="57" spans="1:9" x14ac:dyDescent="0.2">
      <c r="A57" s="37" t="s">
        <v>102</v>
      </c>
      <c r="B57" s="40">
        <v>9042</v>
      </c>
      <c r="C57" s="40">
        <v>9921</v>
      </c>
      <c r="D57" s="40">
        <f>C57-B57</f>
        <v>879</v>
      </c>
      <c r="E57" s="40">
        <f>E31+E46</f>
        <v>11442</v>
      </c>
      <c r="F57" s="70">
        <f>E57-C57</f>
        <v>1521</v>
      </c>
      <c r="G57" s="40">
        <f>G31+G46</f>
        <v>13223.996419411562</v>
      </c>
      <c r="H57" s="40">
        <f>H31+H46</f>
        <v>12457.474148914831</v>
      </c>
      <c r="I57" s="40">
        <f>I55-I56</f>
        <v>11690.951878418105</v>
      </c>
    </row>
    <row r="58" spans="1:9" x14ac:dyDescent="0.2">
      <c r="A58" s="37" t="s">
        <v>103</v>
      </c>
      <c r="B58" s="43">
        <f>B56/B55</f>
        <v>0.67170140149589719</v>
      </c>
      <c r="C58" s="43">
        <f>C56/C55</f>
        <v>0.68602443192607132</v>
      </c>
      <c r="D58" s="37"/>
      <c r="E58" s="43">
        <f>E56/E55</f>
        <v>0.6820430167287278</v>
      </c>
      <c r="F58" s="37"/>
      <c r="G58" s="43">
        <f>G56/G55</f>
        <v>0.69299288857688068</v>
      </c>
      <c r="H58" s="43">
        <f>H56/H55</f>
        <v>0.69505433082588985</v>
      </c>
      <c r="I58" s="43">
        <f>I56/I55</f>
        <v>0.69735297630230897</v>
      </c>
    </row>
    <row r="59" spans="1:9" x14ac:dyDescent="0.2">
      <c r="A59" s="37" t="s">
        <v>104</v>
      </c>
      <c r="B59" s="43">
        <f>B57/B55</f>
        <v>0.32829859850410281</v>
      </c>
      <c r="C59" s="43">
        <f>C57/C55</f>
        <v>0.31397556807392873</v>
      </c>
      <c r="D59" s="37"/>
      <c r="E59" s="43">
        <f>E57/E55</f>
        <v>0.31795698327127214</v>
      </c>
      <c r="F59" s="37"/>
      <c r="G59" s="43">
        <f>1-G58</f>
        <v>0.30700711142311932</v>
      </c>
      <c r="H59" s="43">
        <f>1-H58</f>
        <v>0.30494566917411015</v>
      </c>
      <c r="I59" s="43">
        <f>1-I58</f>
        <v>0.30264702369769103</v>
      </c>
    </row>
    <row r="60" spans="1:9" ht="15.75" x14ac:dyDescent="0.2">
      <c r="A60" s="213"/>
      <c r="B60" s="213"/>
      <c r="C60" s="213"/>
      <c r="D60" s="214"/>
      <c r="E60" s="215"/>
      <c r="F60" s="214"/>
      <c r="G60" s="215"/>
      <c r="H60" s="215"/>
      <c r="I60" s="216"/>
    </row>
    <row r="61" spans="1:9" x14ac:dyDescent="0.2">
      <c r="A61" s="64" t="s">
        <v>93</v>
      </c>
      <c r="B61" s="40"/>
      <c r="C61" s="40"/>
      <c r="D61" s="40"/>
      <c r="E61" s="40"/>
      <c r="F61" s="37"/>
      <c r="G61" s="40"/>
      <c r="H61" s="40"/>
      <c r="I61" s="40"/>
    </row>
    <row r="62" spans="1:9" s="31" customFormat="1" x14ac:dyDescent="0.2">
      <c r="A62" s="37" t="s">
        <v>1</v>
      </c>
      <c r="B62" s="40">
        <v>899</v>
      </c>
      <c r="C62" s="40">
        <v>433</v>
      </c>
      <c r="D62" s="40">
        <f t="shared" ref="D62:D68" si="0">C62-B62</f>
        <v>-466</v>
      </c>
      <c r="E62" s="40">
        <v>620</v>
      </c>
      <c r="F62" s="40">
        <f>+E62-C62</f>
        <v>187</v>
      </c>
      <c r="G62" s="40">
        <f t="shared" ref="G62:I63" si="1">G56/(1-G70)-G56</f>
        <v>301.51426979432654</v>
      </c>
      <c r="H62" s="40">
        <f t="shared" si="1"/>
        <v>286.80788298596235</v>
      </c>
      <c r="I62" s="40">
        <f t="shared" si="1"/>
        <v>272.10149617759453</v>
      </c>
    </row>
    <row r="63" spans="1:9" s="31" customFormat="1" x14ac:dyDescent="0.2">
      <c r="A63" s="37" t="s">
        <v>2</v>
      </c>
      <c r="B63" s="40">
        <v>1388</v>
      </c>
      <c r="C63" s="40">
        <v>386</v>
      </c>
      <c r="D63" s="40">
        <f t="shared" si="0"/>
        <v>-1002</v>
      </c>
      <c r="E63" s="40">
        <v>1038</v>
      </c>
      <c r="F63" s="40">
        <f t="shared" ref="F63:F68" si="2">+E63-C63</f>
        <v>652</v>
      </c>
      <c r="G63" s="40">
        <f t="shared" si="1"/>
        <v>550.99985080881561</v>
      </c>
      <c r="H63" s="40">
        <f t="shared" si="1"/>
        <v>519.06142287145121</v>
      </c>
      <c r="I63" s="40">
        <f t="shared" si="1"/>
        <v>487.12299493408864</v>
      </c>
    </row>
    <row r="64" spans="1:9" s="31" customFormat="1" x14ac:dyDescent="0.2">
      <c r="A64" s="37" t="s">
        <v>8</v>
      </c>
      <c r="B64" s="40">
        <v>782</v>
      </c>
      <c r="C64" s="40">
        <v>198</v>
      </c>
      <c r="D64" s="40">
        <f t="shared" si="0"/>
        <v>-584</v>
      </c>
      <c r="E64" s="139">
        <v>179</v>
      </c>
      <c r="F64" s="40">
        <f t="shared" si="2"/>
        <v>-19</v>
      </c>
      <c r="G64" s="140" t="s">
        <v>32</v>
      </c>
      <c r="H64" s="40"/>
      <c r="I64" s="40"/>
    </row>
    <row r="65" spans="1:14" s="31" customFormat="1" x14ac:dyDescent="0.2">
      <c r="A65" s="37" t="s">
        <v>10</v>
      </c>
      <c r="B65" s="40">
        <v>10558</v>
      </c>
      <c r="C65" s="40">
        <v>10428</v>
      </c>
      <c r="D65" s="40">
        <f t="shared" si="0"/>
        <v>-130</v>
      </c>
      <c r="E65" s="139">
        <v>12389</v>
      </c>
      <c r="F65" s="40">
        <f t="shared" si="2"/>
        <v>1961</v>
      </c>
      <c r="G65" s="140" t="s">
        <v>32</v>
      </c>
      <c r="H65" s="40"/>
      <c r="I65" s="40"/>
    </row>
    <row r="66" spans="1:14" s="31" customFormat="1" x14ac:dyDescent="0.2">
      <c r="A66" s="37" t="s">
        <v>7</v>
      </c>
      <c r="B66" s="40">
        <v>1037</v>
      </c>
      <c r="C66" s="40">
        <v>686</v>
      </c>
      <c r="D66" s="40">
        <f t="shared" si="0"/>
        <v>-351</v>
      </c>
      <c r="E66" s="139">
        <v>902</v>
      </c>
      <c r="F66" s="40">
        <f t="shared" si="2"/>
        <v>216</v>
      </c>
      <c r="G66" s="140" t="s">
        <v>32</v>
      </c>
      <c r="H66" s="40"/>
      <c r="I66" s="40"/>
    </row>
    <row r="67" spans="1:14" s="31" customFormat="1" x14ac:dyDescent="0.2">
      <c r="A67" s="37" t="s">
        <v>11</v>
      </c>
      <c r="B67" s="40">
        <f>SUM(B62:B66)</f>
        <v>14664</v>
      </c>
      <c r="C67" s="40">
        <f>SUM(C62:C66)</f>
        <v>12131</v>
      </c>
      <c r="D67" s="40">
        <f t="shared" si="0"/>
        <v>-2533</v>
      </c>
      <c r="E67" s="139">
        <v>15134</v>
      </c>
      <c r="F67" s="40">
        <f t="shared" si="2"/>
        <v>3003</v>
      </c>
      <c r="G67" s="140" t="s">
        <v>32</v>
      </c>
      <c r="H67" s="40"/>
      <c r="I67" s="40"/>
    </row>
    <row r="68" spans="1:14" s="31" customFormat="1" x14ac:dyDescent="0.2">
      <c r="A68" s="37" t="s">
        <v>9</v>
      </c>
      <c r="B68" s="40">
        <v>42206</v>
      </c>
      <c r="C68" s="40">
        <v>43729</v>
      </c>
      <c r="D68" s="40">
        <f t="shared" si="0"/>
        <v>1523</v>
      </c>
      <c r="E68" s="139">
        <v>51120</v>
      </c>
      <c r="F68" s="40">
        <f t="shared" si="2"/>
        <v>7391</v>
      </c>
      <c r="G68" s="140" t="s">
        <v>32</v>
      </c>
      <c r="H68" s="40"/>
      <c r="I68" s="40"/>
      <c r="J68" s="34"/>
      <c r="K68" s="71"/>
      <c r="L68" s="34"/>
    </row>
    <row r="69" spans="1:14" s="31" customFormat="1" ht="14.25" x14ac:dyDescent="0.2">
      <c r="A69" s="37"/>
      <c r="B69" s="174"/>
      <c r="C69" s="174"/>
      <c r="D69" s="37"/>
      <c r="E69" s="42"/>
      <c r="F69" s="37"/>
      <c r="G69" s="43"/>
      <c r="H69" s="43"/>
      <c r="I69" s="43"/>
    </row>
    <row r="70" spans="1:14" s="31" customFormat="1" ht="14.25" x14ac:dyDescent="0.2">
      <c r="A70" s="37" t="s">
        <v>4</v>
      </c>
      <c r="B70" s="43">
        <f>B62/B81</f>
        <v>4.6342594979122638E-2</v>
      </c>
      <c r="C70" s="43">
        <f>C62/C81</f>
        <v>1.9583898688376299E-2</v>
      </c>
      <c r="D70" s="42"/>
      <c r="E70" s="43">
        <f>E62/E81</f>
        <v>2.4638372277857257E-2</v>
      </c>
      <c r="F70" s="37"/>
      <c r="G70" s="218">
        <v>0.01</v>
      </c>
      <c r="H70" s="43">
        <f>G70</f>
        <v>0.01</v>
      </c>
      <c r="I70" s="43">
        <f>H70</f>
        <v>0.01</v>
      </c>
      <c r="J70" s="30"/>
    </row>
    <row r="71" spans="1:14" s="31" customFormat="1" x14ac:dyDescent="0.2">
      <c r="A71" s="37" t="s">
        <v>3</v>
      </c>
      <c r="B71" s="43">
        <f>B63/B82</f>
        <v>0.13307766059443912</v>
      </c>
      <c r="C71" s="43">
        <f>C63/C82</f>
        <v>3.7450276511108958E-2</v>
      </c>
      <c r="D71" s="42"/>
      <c r="E71" s="43">
        <f>E63/E82</f>
        <v>8.3173076923076919E-2</v>
      </c>
      <c r="F71" s="37"/>
      <c r="G71" s="218">
        <v>0.04</v>
      </c>
      <c r="H71" s="43">
        <f>G71</f>
        <v>0.04</v>
      </c>
      <c r="I71" s="43">
        <f>H71</f>
        <v>0.04</v>
      </c>
      <c r="J71" s="34" t="s">
        <v>130</v>
      </c>
    </row>
    <row r="72" spans="1:14" s="31" customFormat="1" ht="14.25" x14ac:dyDescent="0.2">
      <c r="A72" s="37" t="s">
        <v>5</v>
      </c>
      <c r="B72" s="43">
        <f>(B62+B63)/B83</f>
        <v>7.6670354353146272E-2</v>
      </c>
      <c r="C72" s="43">
        <f>(C62+C63)/C83</f>
        <v>2.5264521701576333E-2</v>
      </c>
      <c r="D72" s="42"/>
      <c r="E72" s="43">
        <f>(E62+E63)/E83</f>
        <v>4.4044203591541813E-2</v>
      </c>
      <c r="F72" s="37"/>
      <c r="G72" s="43">
        <f>(G62+G63)/G83</f>
        <v>1.9319593008067158E-2</v>
      </c>
      <c r="H72" s="43">
        <f>(H62+H63)/H83</f>
        <v>1.9252538912749913E-2</v>
      </c>
      <c r="I72" s="43">
        <f>(I62+I63)/I83</f>
        <v>1.9177798163043474E-2</v>
      </c>
      <c r="J72" s="30"/>
      <c r="K72" s="80"/>
      <c r="L72" s="74"/>
      <c r="M72" s="34"/>
    </row>
    <row r="73" spans="1:14" ht="15" x14ac:dyDescent="0.25">
      <c r="A73" s="37"/>
      <c r="B73" s="43"/>
      <c r="C73" s="43"/>
      <c r="D73" s="42"/>
      <c r="E73" s="42"/>
      <c r="F73" s="37"/>
      <c r="G73" s="37"/>
      <c r="H73" s="37"/>
      <c r="I73" s="37"/>
      <c r="J73" s="8"/>
      <c r="K73" s="9"/>
      <c r="L73" s="8"/>
      <c r="M73" s="4"/>
    </row>
    <row r="74" spans="1:14" x14ac:dyDescent="0.2">
      <c r="A74" s="37"/>
      <c r="B74" s="43"/>
      <c r="C74" s="43"/>
      <c r="D74" s="42"/>
      <c r="E74" s="42"/>
      <c r="F74" s="37"/>
      <c r="G74" s="37"/>
      <c r="H74" s="37"/>
      <c r="I74" s="37"/>
      <c r="K74" s="4"/>
      <c r="L74" s="4"/>
      <c r="M74" s="4"/>
      <c r="N74" s="4"/>
    </row>
    <row r="75" spans="1:14" x14ac:dyDescent="0.2">
      <c r="A75" s="37" t="s">
        <v>38</v>
      </c>
      <c r="B75" s="43"/>
      <c r="C75" s="43"/>
      <c r="D75" s="42"/>
      <c r="E75" s="42"/>
      <c r="F75" s="37"/>
      <c r="G75" s="154">
        <f>0.0005*8*E81</f>
        <v>100.65600000000001</v>
      </c>
      <c r="H75" s="154">
        <f>G75</f>
        <v>100.65600000000001</v>
      </c>
      <c r="I75" s="154">
        <f>H75</f>
        <v>100.65600000000001</v>
      </c>
      <c r="K75" s="4"/>
      <c r="L75" s="4"/>
      <c r="M75" s="4"/>
      <c r="N75" s="4"/>
    </row>
    <row r="76" spans="1:14" x14ac:dyDescent="0.2">
      <c r="A76" s="37" t="s">
        <v>39</v>
      </c>
      <c r="B76" s="43"/>
      <c r="C76" s="43"/>
      <c r="D76" s="42"/>
      <c r="E76" s="42"/>
      <c r="F76" s="37"/>
      <c r="G76" s="154">
        <f>0.001*8*E82</f>
        <v>99.84</v>
      </c>
      <c r="H76" s="154">
        <f>G76</f>
        <v>99.84</v>
      </c>
      <c r="I76" s="154">
        <f>H76</f>
        <v>99.84</v>
      </c>
      <c r="J76" s="4"/>
      <c r="K76" s="4"/>
      <c r="L76" s="4"/>
      <c r="M76" s="4"/>
    </row>
    <row r="77" spans="1:14" ht="15" x14ac:dyDescent="0.25">
      <c r="A77" s="37" t="s">
        <v>47</v>
      </c>
      <c r="B77" s="43"/>
      <c r="C77" s="43"/>
      <c r="D77" s="42"/>
      <c r="E77" s="42"/>
      <c r="F77" s="37"/>
      <c r="G77" s="154">
        <f>G75+G76</f>
        <v>200.49600000000001</v>
      </c>
      <c r="H77" s="154">
        <f>H75+H76</f>
        <v>200.49600000000001</v>
      </c>
      <c r="I77" s="154">
        <f>I75+I76</f>
        <v>200.49600000000001</v>
      </c>
      <c r="J77" s="8"/>
      <c r="K77" s="9"/>
      <c r="L77" s="8"/>
      <c r="M77" s="4"/>
    </row>
    <row r="78" spans="1:14" ht="15" x14ac:dyDescent="0.25">
      <c r="A78" s="31"/>
      <c r="B78" s="38"/>
      <c r="C78" s="38"/>
      <c r="D78" s="44"/>
      <c r="E78" s="44"/>
      <c r="F78" s="31"/>
      <c r="G78" s="45"/>
      <c r="H78" s="45"/>
      <c r="I78" s="45"/>
      <c r="J78" s="8"/>
      <c r="K78" s="9"/>
      <c r="L78" s="8"/>
      <c r="M78" s="4"/>
    </row>
    <row r="79" spans="1:14" ht="15" x14ac:dyDescent="0.25">
      <c r="A79" s="31"/>
      <c r="B79" s="38"/>
      <c r="C79" s="38"/>
      <c r="D79" s="44"/>
      <c r="E79" s="44"/>
      <c r="F79" s="33"/>
      <c r="G79" s="46">
        <v>2020</v>
      </c>
      <c r="H79" s="22">
        <v>2020</v>
      </c>
      <c r="I79" s="47">
        <v>2020</v>
      </c>
      <c r="J79" s="8"/>
      <c r="K79" s="9"/>
      <c r="L79" s="8"/>
      <c r="M79" s="4"/>
    </row>
    <row r="80" spans="1:14" ht="26.25" x14ac:dyDescent="0.25">
      <c r="A80" s="48" t="s">
        <v>64</v>
      </c>
      <c r="B80" s="48">
        <v>1990</v>
      </c>
      <c r="C80" s="48">
        <v>2000</v>
      </c>
      <c r="D80" s="29" t="s">
        <v>117</v>
      </c>
      <c r="E80" s="48">
        <v>2010</v>
      </c>
      <c r="F80" s="49" t="s">
        <v>44</v>
      </c>
      <c r="G80" s="50" t="s">
        <v>35</v>
      </c>
      <c r="H80" s="51" t="s">
        <v>36</v>
      </c>
      <c r="I80" s="50" t="s">
        <v>37</v>
      </c>
      <c r="J80" s="8"/>
      <c r="K80" s="9"/>
      <c r="L80" s="8"/>
      <c r="M80" s="4"/>
    </row>
    <row r="81" spans="1:13" ht="15" x14ac:dyDescent="0.25">
      <c r="A81" s="31" t="s">
        <v>13</v>
      </c>
      <c r="B81" s="32">
        <f>B56+B62</f>
        <v>19399</v>
      </c>
      <c r="C81" s="32">
        <f>C56+C62</f>
        <v>22110</v>
      </c>
      <c r="D81" s="32">
        <f>C81-B81</f>
        <v>2711</v>
      </c>
      <c r="E81" s="32">
        <f>E56+E62</f>
        <v>25164</v>
      </c>
      <c r="F81" s="52" t="s">
        <v>41</v>
      </c>
      <c r="G81" s="53">
        <f t="shared" ref="G81:I82" si="3">G56+G62+G75</f>
        <v>30252.082979432729</v>
      </c>
      <c r="H81" s="53">
        <f t="shared" si="3"/>
        <v>28781.444298596114</v>
      </c>
      <c r="I81" s="53">
        <f t="shared" si="3"/>
        <v>27310.805617759488</v>
      </c>
      <c r="J81" s="8"/>
      <c r="K81" s="9"/>
      <c r="L81" s="8"/>
      <c r="M81" s="4"/>
    </row>
    <row r="82" spans="1:13" ht="15" x14ac:dyDescent="0.25">
      <c r="A82" s="31" t="s">
        <v>14</v>
      </c>
      <c r="B82" s="32">
        <f>B57+B63</f>
        <v>10430</v>
      </c>
      <c r="C82" s="32">
        <f>C57+C63</f>
        <v>10307</v>
      </c>
      <c r="D82" s="32">
        <f>C82-B82</f>
        <v>-123</v>
      </c>
      <c r="E82" s="32">
        <f>E57+E63</f>
        <v>12480</v>
      </c>
      <c r="F82" s="52" t="s">
        <v>43</v>
      </c>
      <c r="G82" s="53">
        <f t="shared" si="3"/>
        <v>13874.836270220378</v>
      </c>
      <c r="H82" s="53">
        <f t="shared" si="3"/>
        <v>13076.375571786282</v>
      </c>
      <c r="I82" s="53">
        <f t="shared" si="3"/>
        <v>12277.914873352194</v>
      </c>
      <c r="J82" s="5"/>
      <c r="K82" s="5"/>
      <c r="L82" s="5"/>
      <c r="M82" s="4"/>
    </row>
    <row r="83" spans="1:13" ht="15" x14ac:dyDescent="0.25">
      <c r="A83" s="31" t="s">
        <v>12</v>
      </c>
      <c r="B83" s="32">
        <f>B81+B82</f>
        <v>29829</v>
      </c>
      <c r="C83" s="32">
        <f>C81+C82</f>
        <v>32417</v>
      </c>
      <c r="D83" s="32">
        <f>C83-B83</f>
        <v>2588</v>
      </c>
      <c r="E83" s="32">
        <f>E81+E82</f>
        <v>37644</v>
      </c>
      <c r="F83" s="52" t="s">
        <v>42</v>
      </c>
      <c r="G83" s="53">
        <f>G81+G82</f>
        <v>44126.919249653103</v>
      </c>
      <c r="H83" s="53">
        <f>H81+H82</f>
        <v>41857.819870382395</v>
      </c>
      <c r="I83" s="53">
        <f>I81+I82</f>
        <v>39588.720491111686</v>
      </c>
      <c r="J83" s="5"/>
      <c r="K83" s="5"/>
      <c r="L83" s="5"/>
      <c r="M83" s="4"/>
    </row>
    <row r="84" spans="1:13" ht="15" x14ac:dyDescent="0.25">
      <c r="A84" s="31"/>
      <c r="B84" s="32"/>
      <c r="C84" s="32"/>
      <c r="D84" s="32"/>
      <c r="E84" s="32"/>
      <c r="F84" s="54" t="s">
        <v>205</v>
      </c>
      <c r="G84" s="75"/>
      <c r="H84" s="76"/>
      <c r="I84" s="77"/>
      <c r="J84" s="5"/>
      <c r="K84" s="5"/>
      <c r="L84" s="5"/>
      <c r="M84" s="4"/>
    </row>
    <row r="85" spans="1:13" x14ac:dyDescent="0.2">
      <c r="A85" s="31"/>
      <c r="B85" s="32"/>
      <c r="C85" s="39"/>
      <c r="D85" s="31"/>
      <c r="E85" s="31"/>
      <c r="F85" s="49" t="s">
        <v>44</v>
      </c>
      <c r="G85" s="78" t="s">
        <v>35</v>
      </c>
      <c r="H85" s="79" t="s">
        <v>36</v>
      </c>
      <c r="I85" s="78" t="s">
        <v>37</v>
      </c>
      <c r="J85" s="4"/>
      <c r="K85" s="4"/>
      <c r="L85" s="4"/>
      <c r="M85" s="4"/>
    </row>
    <row r="86" spans="1:13" x14ac:dyDescent="0.2">
      <c r="A86" s="31"/>
      <c r="B86" s="31"/>
      <c r="C86" s="31"/>
      <c r="D86" s="31"/>
      <c r="E86" s="31"/>
      <c r="F86" s="52" t="s">
        <v>41</v>
      </c>
      <c r="G86" s="53">
        <f>G81-E81</f>
        <v>5088.0829794327292</v>
      </c>
      <c r="H86" s="53">
        <f>H81-E81</f>
        <v>3617.4442985961141</v>
      </c>
      <c r="I86" s="53">
        <f>I81-E81</f>
        <v>2146.8056177594881</v>
      </c>
      <c r="J86" s="4"/>
      <c r="K86" s="4"/>
      <c r="L86" s="4"/>
      <c r="M86" s="4"/>
    </row>
    <row r="87" spans="1:13" x14ac:dyDescent="0.2">
      <c r="A87" s="31"/>
      <c r="B87" s="31"/>
      <c r="C87" s="31"/>
      <c r="D87" s="31"/>
      <c r="E87" s="31"/>
      <c r="F87" s="52" t="s">
        <v>43</v>
      </c>
      <c r="G87" s="53">
        <f>G82-E82</f>
        <v>1394.8362702203776</v>
      </c>
      <c r="H87" s="53">
        <f>H82-E82</f>
        <v>596.37557178628231</v>
      </c>
      <c r="I87" s="53">
        <f>I82-E82</f>
        <v>-202.08512664780574</v>
      </c>
    </row>
    <row r="88" spans="1:13" x14ac:dyDescent="0.2">
      <c r="A88" s="31"/>
      <c r="B88" s="31"/>
      <c r="C88" s="31"/>
      <c r="D88" s="31"/>
      <c r="E88" s="31"/>
      <c r="F88" s="52" t="s">
        <v>42</v>
      </c>
      <c r="G88" s="53">
        <f>G83-E83</f>
        <v>6482.9192496531032</v>
      </c>
      <c r="H88" s="53">
        <f>H83-E83</f>
        <v>4213.8198703823946</v>
      </c>
      <c r="I88" s="53">
        <f>I83-E83</f>
        <v>1944.720491111686</v>
      </c>
    </row>
    <row r="89" spans="1:13" x14ac:dyDescent="0.2">
      <c r="A89" s="31"/>
      <c r="B89" s="38"/>
      <c r="C89" s="38"/>
      <c r="D89" s="31"/>
      <c r="E89" s="31"/>
      <c r="F89" s="35" t="s">
        <v>91</v>
      </c>
      <c r="G89" s="36"/>
      <c r="H89" s="36"/>
      <c r="I89" s="55"/>
    </row>
    <row r="90" spans="1:13" x14ac:dyDescent="0.2">
      <c r="A90" s="31"/>
      <c r="B90" s="38"/>
      <c r="C90" s="38"/>
      <c r="D90" s="31"/>
      <c r="E90" s="31"/>
      <c r="F90" s="52" t="s">
        <v>41</v>
      </c>
      <c r="G90" s="53">
        <f t="shared" ref="G90:I91" si="4">(1-$G$16)*G86</f>
        <v>4141.8278047916465</v>
      </c>
      <c r="H90" s="53">
        <f t="shared" si="4"/>
        <v>2944.6908469800228</v>
      </c>
      <c r="I90" s="53">
        <f t="shared" si="4"/>
        <v>1747.55388916839</v>
      </c>
    </row>
    <row r="91" spans="1:13" x14ac:dyDescent="0.2">
      <c r="A91" s="31"/>
      <c r="B91" s="38"/>
      <c r="C91" s="38"/>
      <c r="D91" s="31"/>
      <c r="E91" s="31"/>
      <c r="F91" s="52" t="s">
        <v>43</v>
      </c>
      <c r="G91" s="53">
        <f t="shared" si="4"/>
        <v>1135.431884755687</v>
      </c>
      <c r="H91" s="53">
        <f t="shared" si="4"/>
        <v>485.4647487683722</v>
      </c>
      <c r="I91" s="53">
        <f t="shared" si="4"/>
        <v>-164.50238721893652</v>
      </c>
    </row>
    <row r="92" spans="1:13" x14ac:dyDescent="0.2">
      <c r="A92" s="31"/>
      <c r="B92" s="38"/>
      <c r="C92" s="38"/>
      <c r="D92" s="31"/>
      <c r="E92" s="31"/>
      <c r="F92" s="52" t="s">
        <v>42</v>
      </c>
      <c r="G92" s="53">
        <f>G90+G91</f>
        <v>5277.2596895473334</v>
      </c>
      <c r="H92" s="53">
        <f>H90+H91</f>
        <v>3430.1555957483952</v>
      </c>
      <c r="I92" s="53">
        <f>I90+I91</f>
        <v>1583.0515019494535</v>
      </c>
    </row>
    <row r="93" spans="1:13" ht="14.25" x14ac:dyDescent="0.2">
      <c r="A93" s="30"/>
      <c r="B93" s="67"/>
      <c r="C93" s="67"/>
      <c r="D93" s="30"/>
      <c r="E93" s="30"/>
      <c r="F93" s="69"/>
      <c r="G93" s="72"/>
      <c r="H93" s="72"/>
      <c r="I93" s="74"/>
    </row>
    <row r="94" spans="1:13" ht="14.25" x14ac:dyDescent="0.2">
      <c r="A94" s="30"/>
      <c r="B94" s="67"/>
      <c r="C94" s="67"/>
      <c r="D94" s="30"/>
      <c r="E94" s="30"/>
      <c r="F94" s="69"/>
      <c r="G94" s="72"/>
      <c r="H94" s="72"/>
      <c r="I94" s="74"/>
    </row>
    <row r="95" spans="1:13" ht="25.5" x14ac:dyDescent="0.2">
      <c r="A95" s="184" t="s">
        <v>155</v>
      </c>
      <c r="B95" s="181">
        <v>1990</v>
      </c>
      <c r="C95" s="182">
        <v>2000</v>
      </c>
      <c r="D95" s="183" t="s">
        <v>117</v>
      </c>
      <c r="E95" s="48">
        <v>2010</v>
      </c>
      <c r="F95" s="34"/>
      <c r="G95" s="175"/>
      <c r="H95" s="176" t="s">
        <v>185</v>
      </c>
      <c r="I95" s="177"/>
      <c r="K95" s="178"/>
      <c r="L95" s="179" t="s">
        <v>186</v>
      </c>
      <c r="M95" s="180"/>
    </row>
    <row r="96" spans="1:13" x14ac:dyDescent="0.2">
      <c r="A96" s="21" t="s">
        <v>150</v>
      </c>
      <c r="B96" s="32">
        <f t="shared" ref="B96:C98" si="5">B29</f>
        <v>21589</v>
      </c>
      <c r="C96" s="32">
        <f t="shared" si="5"/>
        <v>24840</v>
      </c>
      <c r="D96" s="32">
        <f>C96-B96</f>
        <v>3251</v>
      </c>
      <c r="E96" s="32">
        <f t="shared" ref="E96:I98" si="6">E29</f>
        <v>27052</v>
      </c>
      <c r="F96" s="34"/>
      <c r="G96" s="32">
        <f t="shared" si="6"/>
        <v>29800.909129049967</v>
      </c>
      <c r="H96" s="32">
        <f t="shared" si="6"/>
        <v>27578.454564524982</v>
      </c>
      <c r="I96" s="32">
        <f t="shared" si="6"/>
        <v>25356</v>
      </c>
      <c r="K96" s="3">
        <f>G96-E96</f>
        <v>2748.9091290499673</v>
      </c>
      <c r="L96" s="3">
        <f>H96-E96</f>
        <v>526.45456452498183</v>
      </c>
      <c r="M96" s="3">
        <f>I96-E96</f>
        <v>-1696</v>
      </c>
    </row>
    <row r="97" spans="1:13" x14ac:dyDescent="0.2">
      <c r="A97" s="31" t="s">
        <v>151</v>
      </c>
      <c r="B97" s="32">
        <f t="shared" si="5"/>
        <v>13859</v>
      </c>
      <c r="C97" s="32">
        <f t="shared" si="5"/>
        <v>16261</v>
      </c>
      <c r="D97" s="32">
        <f>C97-B97</f>
        <v>2402</v>
      </c>
      <c r="E97" s="32">
        <f t="shared" si="6"/>
        <v>17672</v>
      </c>
      <c r="F97" s="34"/>
      <c r="G97" s="32">
        <f t="shared" si="6"/>
        <v>19522.606529262786</v>
      </c>
      <c r="H97" s="32">
        <f t="shared" si="6"/>
        <v>18066.674235234532</v>
      </c>
      <c r="I97" s="32">
        <f t="shared" si="6"/>
        <v>16610.741941206274</v>
      </c>
      <c r="K97" s="3">
        <f t="shared" ref="K97:K106" si="7">G97-E97</f>
        <v>1850.6065292627864</v>
      </c>
      <c r="L97" s="3">
        <f t="shared" ref="L97:L106" si="8">H97-E97</f>
        <v>394.67423523453181</v>
      </c>
      <c r="M97" s="3">
        <f t="shared" ref="M97:M106" si="9">I97-E97</f>
        <v>-1061.2580587937264</v>
      </c>
    </row>
    <row r="98" spans="1:13" x14ac:dyDescent="0.2">
      <c r="A98" s="31" t="s">
        <v>152</v>
      </c>
      <c r="B98" s="32">
        <f t="shared" si="5"/>
        <v>7730</v>
      </c>
      <c r="C98" s="32">
        <f t="shared" si="5"/>
        <v>8579</v>
      </c>
      <c r="D98" s="32">
        <f>C98-B98</f>
        <v>849</v>
      </c>
      <c r="E98" s="32">
        <f t="shared" si="6"/>
        <v>9380</v>
      </c>
      <c r="F98" s="34"/>
      <c r="G98" s="32">
        <f t="shared" si="6"/>
        <v>10278.302599787181</v>
      </c>
      <c r="H98" s="32">
        <f t="shared" si="6"/>
        <v>9511.78032929045</v>
      </c>
      <c r="I98" s="32">
        <f t="shared" si="6"/>
        <v>8745.4441574731554</v>
      </c>
      <c r="K98" s="3">
        <f t="shared" si="7"/>
        <v>898.30259978718095</v>
      </c>
      <c r="L98" s="3">
        <f t="shared" si="8"/>
        <v>131.78032929045003</v>
      </c>
      <c r="M98" s="3">
        <f t="shared" si="9"/>
        <v>-634.55584252684457</v>
      </c>
    </row>
    <row r="99" spans="1:13" x14ac:dyDescent="0.2">
      <c r="A99" s="31"/>
      <c r="B99" s="31"/>
      <c r="C99" s="31"/>
      <c r="D99" s="31"/>
      <c r="E99" s="31"/>
      <c r="F99" s="34"/>
      <c r="G99" s="31"/>
      <c r="H99" s="31"/>
      <c r="I99" s="31"/>
      <c r="K99" s="3"/>
      <c r="L99" s="3"/>
      <c r="M99" s="3"/>
    </row>
    <row r="100" spans="1:13" x14ac:dyDescent="0.2">
      <c r="A100" s="21" t="s">
        <v>153</v>
      </c>
      <c r="B100" s="32">
        <f>B41</f>
        <v>5953</v>
      </c>
      <c r="C100" s="32">
        <f>C41</f>
        <v>6758</v>
      </c>
      <c r="D100" s="32">
        <f t="shared" ref="D100:D106" si="10">C100-B100</f>
        <v>805</v>
      </c>
      <c r="E100" s="32">
        <f>E41</f>
        <v>8934</v>
      </c>
      <c r="F100" s="34"/>
      <c r="G100" s="32">
        <f>G41</f>
        <v>13273</v>
      </c>
      <c r="H100" s="32">
        <f>H41</f>
        <v>13273</v>
      </c>
      <c r="I100" s="32">
        <f>I41</f>
        <v>13273</v>
      </c>
      <c r="K100" s="3">
        <f t="shared" si="7"/>
        <v>4339</v>
      </c>
      <c r="L100" s="3">
        <f t="shared" si="8"/>
        <v>4339</v>
      </c>
      <c r="M100" s="3">
        <f t="shared" si="9"/>
        <v>4339</v>
      </c>
    </row>
    <row r="101" spans="1:13" x14ac:dyDescent="0.2">
      <c r="A101" s="31" t="s">
        <v>151</v>
      </c>
      <c r="B101" s="32">
        <f>B45</f>
        <v>4641</v>
      </c>
      <c r="C101" s="32">
        <f>C45</f>
        <v>5416</v>
      </c>
      <c r="D101" s="32">
        <f t="shared" si="10"/>
        <v>775</v>
      </c>
      <c r="E101" s="32">
        <f t="shared" ref="E101:I102" si="11">E45</f>
        <v>6872</v>
      </c>
      <c r="F101" s="34"/>
      <c r="G101" s="32">
        <f t="shared" si="11"/>
        <v>10327.306180375619</v>
      </c>
      <c r="H101" s="32">
        <f t="shared" si="11"/>
        <v>10327.306180375619</v>
      </c>
      <c r="I101" s="32">
        <f t="shared" si="11"/>
        <v>10327.306180375619</v>
      </c>
      <c r="K101" s="3">
        <f t="shared" si="7"/>
        <v>3455.3061803756191</v>
      </c>
      <c r="L101" s="3">
        <f t="shared" si="8"/>
        <v>3455.3061803756191</v>
      </c>
      <c r="M101" s="3">
        <f t="shared" si="9"/>
        <v>3455.3061803756191</v>
      </c>
    </row>
    <row r="102" spans="1:13" x14ac:dyDescent="0.2">
      <c r="A102" s="31" t="s">
        <v>152</v>
      </c>
      <c r="B102" s="32">
        <f>B46</f>
        <v>1312</v>
      </c>
      <c r="C102" s="32">
        <f>C46</f>
        <v>1342</v>
      </c>
      <c r="D102" s="32">
        <f t="shared" si="10"/>
        <v>30</v>
      </c>
      <c r="E102" s="32">
        <f t="shared" si="11"/>
        <v>2062</v>
      </c>
      <c r="F102" s="34"/>
      <c r="G102" s="32">
        <f t="shared" si="11"/>
        <v>2945.6938196243809</v>
      </c>
      <c r="H102" s="32">
        <f t="shared" si="11"/>
        <v>2945.6938196243809</v>
      </c>
      <c r="I102" s="32">
        <f t="shared" si="11"/>
        <v>2945.8715395064869</v>
      </c>
      <c r="K102" s="3">
        <f t="shared" si="7"/>
        <v>883.69381962438092</v>
      </c>
      <c r="L102" s="3">
        <f t="shared" si="8"/>
        <v>883.69381962438092</v>
      </c>
      <c r="M102" s="3">
        <f t="shared" si="9"/>
        <v>883.8715395064869</v>
      </c>
    </row>
    <row r="103" spans="1:13" x14ac:dyDescent="0.2">
      <c r="A103" s="31"/>
      <c r="B103" s="38"/>
      <c r="C103" s="38"/>
      <c r="D103" s="31"/>
      <c r="E103" s="31"/>
      <c r="F103" s="34"/>
      <c r="G103" s="31"/>
      <c r="H103" s="31"/>
      <c r="I103" s="31"/>
      <c r="K103" s="3"/>
      <c r="L103" s="3"/>
      <c r="M103" s="3"/>
    </row>
    <row r="104" spans="1:13" x14ac:dyDescent="0.2">
      <c r="A104" s="21" t="s">
        <v>154</v>
      </c>
      <c r="B104" s="32">
        <f t="shared" ref="B104:C106" si="12">B55</f>
        <v>27542</v>
      </c>
      <c r="C104" s="32">
        <f t="shared" si="12"/>
        <v>31598</v>
      </c>
      <c r="D104" s="32">
        <f t="shared" si="10"/>
        <v>4056</v>
      </c>
      <c r="E104" s="32">
        <f>E55</f>
        <v>35986</v>
      </c>
      <c r="F104" s="34"/>
      <c r="G104" s="32">
        <f>G55</f>
        <v>43073.909129049964</v>
      </c>
      <c r="H104" s="32">
        <f>H55</f>
        <v>40851.454564524982</v>
      </c>
      <c r="I104" s="32">
        <f>I55</f>
        <v>38629</v>
      </c>
      <c r="K104" s="3">
        <f t="shared" si="7"/>
        <v>7087.9091290499637</v>
      </c>
      <c r="L104" s="3">
        <f t="shared" si="8"/>
        <v>4865.4545645249818</v>
      </c>
      <c r="M104" s="3">
        <f t="shared" si="9"/>
        <v>2643</v>
      </c>
    </row>
    <row r="105" spans="1:13" x14ac:dyDescent="0.2">
      <c r="A105" s="31" t="s">
        <v>151</v>
      </c>
      <c r="B105" s="32">
        <f t="shared" si="12"/>
        <v>18500</v>
      </c>
      <c r="C105" s="32">
        <f t="shared" si="12"/>
        <v>21677</v>
      </c>
      <c r="D105" s="32">
        <f t="shared" si="10"/>
        <v>3177</v>
      </c>
      <c r="E105" s="32">
        <f t="shared" ref="E105:I106" si="13">E56</f>
        <v>24544</v>
      </c>
      <c r="F105" s="34"/>
      <c r="G105" s="32">
        <f t="shared" si="13"/>
        <v>29849.912709638404</v>
      </c>
      <c r="H105" s="32">
        <f t="shared" si="13"/>
        <v>28393.980415610153</v>
      </c>
      <c r="I105" s="32">
        <f t="shared" si="13"/>
        <v>26938.048121581895</v>
      </c>
      <c r="K105" s="3">
        <f t="shared" si="7"/>
        <v>5305.9127096384036</v>
      </c>
      <c r="L105" s="3">
        <f t="shared" si="8"/>
        <v>3849.9804156101527</v>
      </c>
      <c r="M105" s="3">
        <f t="shared" si="9"/>
        <v>2394.0481215818945</v>
      </c>
    </row>
    <row r="106" spans="1:13" x14ac:dyDescent="0.2">
      <c r="A106" s="31" t="s">
        <v>152</v>
      </c>
      <c r="B106" s="32">
        <f t="shared" si="12"/>
        <v>9042</v>
      </c>
      <c r="C106" s="32">
        <f t="shared" si="12"/>
        <v>9921</v>
      </c>
      <c r="D106" s="32">
        <f t="shared" si="10"/>
        <v>879</v>
      </c>
      <c r="E106" s="32">
        <f t="shared" si="13"/>
        <v>11442</v>
      </c>
      <c r="F106" s="34"/>
      <c r="G106" s="32">
        <f t="shared" si="13"/>
        <v>13223.996419411562</v>
      </c>
      <c r="H106" s="32">
        <f t="shared" si="13"/>
        <v>12457.474148914831</v>
      </c>
      <c r="I106" s="32">
        <f t="shared" si="13"/>
        <v>11690.951878418105</v>
      </c>
      <c r="K106" s="3">
        <f t="shared" si="7"/>
        <v>1781.9964194115619</v>
      </c>
      <c r="L106" s="3">
        <f t="shared" si="8"/>
        <v>1015.4741489148309</v>
      </c>
      <c r="M106" s="3">
        <f t="shared" si="9"/>
        <v>248.95187841810548</v>
      </c>
    </row>
    <row r="107" spans="1:13" ht="14.25" x14ac:dyDescent="0.2">
      <c r="A107" s="30"/>
      <c r="B107" s="67"/>
      <c r="C107" s="67"/>
      <c r="D107" s="30"/>
      <c r="E107" s="30"/>
      <c r="F107" s="69"/>
      <c r="G107" s="72"/>
      <c r="H107" s="72"/>
      <c r="I107" s="74"/>
    </row>
    <row r="108" spans="1:13" ht="14.25" x14ac:dyDescent="0.2">
      <c r="A108" s="30"/>
      <c r="B108" s="67"/>
      <c r="C108" s="67"/>
      <c r="D108" s="30"/>
      <c r="E108" s="30"/>
      <c r="F108" s="69"/>
      <c r="G108" s="72"/>
      <c r="H108" s="72"/>
      <c r="I108" s="74"/>
    </row>
    <row r="109" spans="1:13" s="31" customFormat="1" x14ac:dyDescent="0.2">
      <c r="A109" s="222" t="s">
        <v>206</v>
      </c>
      <c r="B109" s="38"/>
      <c r="C109" s="38"/>
      <c r="E109" s="57" t="s">
        <v>187</v>
      </c>
      <c r="F109" s="34"/>
      <c r="G109" s="45"/>
      <c r="H109" s="58"/>
      <c r="I109" s="56"/>
    </row>
    <row r="110" spans="1:13" s="31" customFormat="1" x14ac:dyDescent="0.2">
      <c r="A110" s="222" t="s">
        <v>207</v>
      </c>
      <c r="B110" s="38"/>
      <c r="C110" s="38"/>
      <c r="E110" s="219" t="s">
        <v>209</v>
      </c>
      <c r="F110" s="34"/>
      <c r="H110" s="59"/>
    </row>
    <row r="111" spans="1:13" s="31" customFormat="1" x14ac:dyDescent="0.2">
      <c r="A111" s="21"/>
      <c r="B111" s="38"/>
      <c r="C111" s="38"/>
      <c r="F111" s="34"/>
      <c r="G111" s="60" t="s">
        <v>77</v>
      </c>
      <c r="H111" s="60" t="s">
        <v>78</v>
      </c>
      <c r="I111" s="61" t="s">
        <v>79</v>
      </c>
    </row>
    <row r="112" spans="1:13" s="31" customFormat="1" x14ac:dyDescent="0.2">
      <c r="A112" s="21" t="s">
        <v>49</v>
      </c>
      <c r="B112" s="38"/>
      <c r="C112" s="62" t="s">
        <v>208</v>
      </c>
      <c r="E112" s="21" t="s">
        <v>49</v>
      </c>
      <c r="F112" s="34"/>
      <c r="G112" s="45"/>
      <c r="I112" s="56"/>
    </row>
    <row r="113" spans="1:9" s="31" customFormat="1" x14ac:dyDescent="0.2">
      <c r="A113" s="31" t="s">
        <v>50</v>
      </c>
      <c r="B113" s="38"/>
      <c r="C113" s="217">
        <v>1977.0868173634726</v>
      </c>
      <c r="E113" s="31" t="s">
        <v>50</v>
      </c>
      <c r="F113" s="34"/>
      <c r="G113" s="45">
        <f>G56*C141</f>
        <v>2471.3512947100694</v>
      </c>
      <c r="H113" s="45">
        <f>H56*C141</f>
        <v>2350.8109033575984</v>
      </c>
      <c r="I113" s="45">
        <f>I56*C141</f>
        <v>2230.2705120051264</v>
      </c>
    </row>
    <row r="114" spans="1:9" s="31" customFormat="1" x14ac:dyDescent="0.2">
      <c r="A114" s="31" t="s">
        <v>51</v>
      </c>
      <c r="B114" s="38"/>
      <c r="C114" s="217">
        <v>4197.7100210020999</v>
      </c>
      <c r="E114" s="31" t="s">
        <v>51</v>
      </c>
      <c r="F114" s="34"/>
      <c r="G114" s="45">
        <f>G56*C142</f>
        <v>5247.1221820471974</v>
      </c>
      <c r="H114" s="45">
        <f>H56*C142</f>
        <v>4991.1933051400374</v>
      </c>
      <c r="I114" s="45">
        <f>I56*C142</f>
        <v>4735.2644282328774</v>
      </c>
    </row>
    <row r="115" spans="1:9" s="31" customFormat="1" x14ac:dyDescent="0.2">
      <c r="A115" s="31" t="s">
        <v>52</v>
      </c>
      <c r="B115" s="38"/>
      <c r="C115" s="217">
        <v>5319.8619861986199</v>
      </c>
      <c r="E115" s="31" t="s">
        <v>52</v>
      </c>
      <c r="F115" s="34"/>
      <c r="G115" s="45">
        <f>G56*C143</f>
        <v>6649.8080366562972</v>
      </c>
      <c r="H115" s="45">
        <f>H56*C143</f>
        <v>6325.4630255390512</v>
      </c>
      <c r="I115" s="45">
        <f>I56*C143</f>
        <v>6001.1180144218033</v>
      </c>
    </row>
    <row r="116" spans="1:9" s="31" customFormat="1" x14ac:dyDescent="0.2">
      <c r="A116" s="31" t="s">
        <v>53</v>
      </c>
      <c r="B116" s="38"/>
      <c r="C116" s="217">
        <v>7619.5850390026008</v>
      </c>
      <c r="E116" s="31" t="s">
        <v>53</v>
      </c>
      <c r="F116" s="34"/>
      <c r="G116" s="45">
        <f>G56*C144</f>
        <v>9524.4534463104847</v>
      </c>
      <c r="H116" s="45">
        <f>H56*C144</f>
        <v>9059.8973355324943</v>
      </c>
      <c r="I116" s="45">
        <f>I56*C144</f>
        <v>8595.341224754502</v>
      </c>
    </row>
    <row r="117" spans="1:9" s="31" customFormat="1" x14ac:dyDescent="0.2">
      <c r="A117" s="31" t="s">
        <v>54</v>
      </c>
      <c r="B117" s="38"/>
      <c r="C117" s="217">
        <v>9930.9671986879475</v>
      </c>
      <c r="E117" s="31" t="s">
        <v>54</v>
      </c>
      <c r="F117" s="34"/>
      <c r="G117" s="45">
        <f>G56*C145</f>
        <v>12413.672696947968</v>
      </c>
      <c r="H117" s="45">
        <f>H56*C145</f>
        <v>11808.194646047421</v>
      </c>
      <c r="I117" s="45">
        <f>I56*C145</f>
        <v>11202.716595146872</v>
      </c>
    </row>
    <row r="118" spans="1:9" s="31" customFormat="1" x14ac:dyDescent="0.2">
      <c r="A118" s="31" t="s">
        <v>55</v>
      </c>
      <c r="B118" s="38"/>
      <c r="C118" s="217">
        <v>11971.640625625025</v>
      </c>
      <c r="E118" s="31" t="s">
        <v>55</v>
      </c>
      <c r="F118" s="34"/>
      <c r="G118" s="45">
        <f>G56*C146</f>
        <v>14964.507021192121</v>
      </c>
      <c r="H118" s="45">
        <f>H56*C146</f>
        <v>14234.61178671356</v>
      </c>
      <c r="I118" s="45">
        <f>I56*C146</f>
        <v>13504.716552234995</v>
      </c>
    </row>
    <row r="119" spans="1:9" s="31" customFormat="1" x14ac:dyDescent="0.2">
      <c r="A119" s="31" t="s">
        <v>56</v>
      </c>
      <c r="B119" s="38"/>
      <c r="C119" s="217">
        <v>23880</v>
      </c>
      <c r="E119" s="31" t="s">
        <v>56</v>
      </c>
      <c r="F119" s="34"/>
      <c r="G119" s="45">
        <f>G56*C147</f>
        <v>29849.912709638404</v>
      </c>
      <c r="H119" s="45">
        <f>H56*C147</f>
        <v>28393.980415610153</v>
      </c>
      <c r="I119" s="45">
        <f>I56*C147</f>
        <v>26938.048121581895</v>
      </c>
    </row>
    <row r="120" spans="1:9" s="31" customFormat="1" x14ac:dyDescent="0.2">
      <c r="B120" s="38"/>
      <c r="C120" s="32"/>
      <c r="F120" s="34"/>
      <c r="G120" s="45"/>
      <c r="H120" s="45"/>
      <c r="I120" s="45"/>
    </row>
    <row r="121" spans="1:9" s="31" customFormat="1" x14ac:dyDescent="0.2">
      <c r="A121" s="21" t="s">
        <v>0</v>
      </c>
      <c r="B121" s="38"/>
      <c r="C121" s="32"/>
      <c r="E121" s="21" t="s">
        <v>0</v>
      </c>
      <c r="F121" s="34"/>
      <c r="G121" s="45"/>
      <c r="H121" s="45"/>
      <c r="I121" s="45"/>
    </row>
    <row r="122" spans="1:9" s="31" customFormat="1" x14ac:dyDescent="0.2">
      <c r="A122" s="31" t="s">
        <v>50</v>
      </c>
      <c r="B122" s="38"/>
      <c r="C122" s="217">
        <v>2097.3187637527503</v>
      </c>
      <c r="E122" s="31" t="s">
        <v>50</v>
      </c>
      <c r="F122" s="34"/>
      <c r="G122" s="45">
        <f>G57*C150</f>
        <v>2619.4688158510626</v>
      </c>
      <c r="H122" s="45">
        <f>H57*C150</f>
        <v>2467.6326295319132</v>
      </c>
      <c r="I122" s="45">
        <f>I57*C150</f>
        <v>2315.7964432127646</v>
      </c>
    </row>
    <row r="123" spans="1:9" s="31" customFormat="1" x14ac:dyDescent="0.2">
      <c r="A123" s="31" t="s">
        <v>51</v>
      </c>
      <c r="B123" s="38"/>
      <c r="C123" s="217">
        <v>3662.9872987298731</v>
      </c>
      <c r="E123" s="31" t="s">
        <v>51</v>
      </c>
      <c r="F123" s="34"/>
      <c r="G123" s="45">
        <f>G57*C151</f>
        <v>4574.9273633126058</v>
      </c>
      <c r="H123" s="45">
        <f>H57*C151</f>
        <v>4309.7440103636918</v>
      </c>
      <c r="I123" s="45">
        <f>I57*C151</f>
        <v>4044.5606574147787</v>
      </c>
    </row>
    <row r="124" spans="1:9" s="31" customFormat="1" x14ac:dyDescent="0.2">
      <c r="A124" s="31" t="s">
        <v>52</v>
      </c>
      <c r="B124" s="38"/>
      <c r="C124" s="217">
        <v>4389.6559655965593</v>
      </c>
      <c r="E124" s="31" t="s">
        <v>52</v>
      </c>
      <c r="F124" s="34"/>
      <c r="G124" s="45">
        <f>G57*C152</f>
        <v>5482.5080063749056</v>
      </c>
      <c r="H124" s="45">
        <f>H57*C152</f>
        <v>5164.717200042398</v>
      </c>
      <c r="I124" s="45">
        <f>I57*C152</f>
        <v>4846.9263937098922</v>
      </c>
    </row>
    <row r="125" spans="1:9" s="31" customFormat="1" x14ac:dyDescent="0.2">
      <c r="A125" s="31" t="s">
        <v>53</v>
      </c>
      <c r="B125" s="38"/>
      <c r="C125" s="217">
        <v>5852.9119274618306</v>
      </c>
      <c r="E125" s="31" t="s">
        <v>53</v>
      </c>
      <c r="F125" s="34"/>
      <c r="G125" s="45">
        <f>G57*C153</f>
        <v>7310.0572697286052</v>
      </c>
      <c r="H125" s="45">
        <f>H57*C153</f>
        <v>6886.3334937883483</v>
      </c>
      <c r="I125" s="45">
        <f>I57*C153</f>
        <v>6462.6097178480941</v>
      </c>
    </row>
    <row r="126" spans="1:9" s="31" customFormat="1" x14ac:dyDescent="0.2">
      <c r="A126" s="31" t="s">
        <v>54</v>
      </c>
      <c r="B126" s="38"/>
      <c r="C126" s="217">
        <v>7244.7597503900161</v>
      </c>
      <c r="E126" s="31" t="s">
        <v>54</v>
      </c>
      <c r="F126" s="34"/>
      <c r="G126" s="45">
        <f>G57*C154</f>
        <v>9048.4205703300504</v>
      </c>
      <c r="H126" s="45">
        <f>H57*C154</f>
        <v>8523.9334440481944</v>
      </c>
      <c r="I126" s="45">
        <f>I57*C154</f>
        <v>7999.4463177663438</v>
      </c>
    </row>
    <row r="127" spans="1:9" s="31" customFormat="1" x14ac:dyDescent="0.2">
      <c r="A127" s="31" t="s">
        <v>55</v>
      </c>
      <c r="B127" s="38"/>
      <c r="C127" s="217">
        <v>7929.3385335413413</v>
      </c>
      <c r="E127" s="31" t="s">
        <v>55</v>
      </c>
      <c r="F127" s="34"/>
      <c r="G127" s="45">
        <f>G57*C155</f>
        <v>9903.4326006661158</v>
      </c>
      <c r="H127" s="45">
        <f>H57*C155</f>
        <v>9329.3851340749443</v>
      </c>
      <c r="I127" s="45">
        <f>I57*C155</f>
        <v>8755.3376674837764</v>
      </c>
    </row>
    <row r="128" spans="1:9" s="31" customFormat="1" x14ac:dyDescent="0.2">
      <c r="A128" s="31" t="s">
        <v>57</v>
      </c>
      <c r="B128" s="38"/>
      <c r="C128" s="217">
        <v>10588</v>
      </c>
      <c r="E128" s="31" t="s">
        <v>57</v>
      </c>
      <c r="F128" s="34"/>
      <c r="G128" s="45">
        <f>G57*C156</f>
        <v>13223.996419411562</v>
      </c>
      <c r="H128" s="45">
        <f>H57*C156</f>
        <v>12457.474148914831</v>
      </c>
      <c r="I128" s="45">
        <f>I57*C156</f>
        <v>11690.951878418105</v>
      </c>
    </row>
    <row r="129" spans="1:9" s="31" customFormat="1" x14ac:dyDescent="0.2">
      <c r="B129" s="38"/>
      <c r="C129" s="32"/>
      <c r="F129" s="34"/>
      <c r="G129" s="45"/>
      <c r="H129" s="45"/>
      <c r="I129" s="45"/>
    </row>
    <row r="130" spans="1:9" s="31" customFormat="1" x14ac:dyDescent="0.2">
      <c r="A130" s="21" t="s">
        <v>58</v>
      </c>
      <c r="B130" s="38"/>
      <c r="C130" s="38"/>
      <c r="E130" s="21" t="s">
        <v>58</v>
      </c>
      <c r="F130" s="34"/>
      <c r="G130" s="45"/>
      <c r="H130" s="45"/>
      <c r="I130" s="45"/>
    </row>
    <row r="131" spans="1:9" s="31" customFormat="1" x14ac:dyDescent="0.2">
      <c r="A131" s="31" t="s">
        <v>50</v>
      </c>
      <c r="B131" s="38"/>
      <c r="C131" s="32">
        <f>C113+C122</f>
        <v>4074.4055811162229</v>
      </c>
      <c r="E131" s="31" t="s">
        <v>50</v>
      </c>
      <c r="F131" s="34"/>
      <c r="G131" s="32">
        <f>G113+G122</f>
        <v>5090.8201105611315</v>
      </c>
      <c r="H131" s="32">
        <f>H113+H122</f>
        <v>4818.4435328895115</v>
      </c>
      <c r="I131" s="32">
        <f>I113+I122</f>
        <v>4546.0669552178915</v>
      </c>
    </row>
    <row r="132" spans="1:9" s="31" customFormat="1" x14ac:dyDescent="0.2">
      <c r="A132" s="31" t="s">
        <v>51</v>
      </c>
      <c r="B132" s="38"/>
      <c r="C132" s="32">
        <f t="shared" ref="C132:C137" si="14">C114+C123</f>
        <v>7860.697319731973</v>
      </c>
      <c r="E132" s="31" t="s">
        <v>51</v>
      </c>
      <c r="F132" s="34"/>
      <c r="G132" s="32">
        <f t="shared" ref="G132:I137" si="15">G114+G123</f>
        <v>9822.0495453598032</v>
      </c>
      <c r="H132" s="32">
        <f t="shared" si="15"/>
        <v>9300.9373155037283</v>
      </c>
      <c r="I132" s="32">
        <f t="shared" si="15"/>
        <v>8779.8250856476552</v>
      </c>
    </row>
    <row r="133" spans="1:9" s="31" customFormat="1" x14ac:dyDescent="0.2">
      <c r="A133" s="31" t="s">
        <v>52</v>
      </c>
      <c r="B133" s="38"/>
      <c r="C133" s="32">
        <f t="shared" si="14"/>
        <v>9709.5179517951801</v>
      </c>
      <c r="E133" s="31" t="s">
        <v>52</v>
      </c>
      <c r="F133" s="34"/>
      <c r="G133" s="32">
        <f t="shared" si="15"/>
        <v>12132.316043031202</v>
      </c>
      <c r="H133" s="32">
        <f t="shared" si="15"/>
        <v>11490.180225581449</v>
      </c>
      <c r="I133" s="32">
        <f t="shared" si="15"/>
        <v>10848.044408131696</v>
      </c>
    </row>
    <row r="134" spans="1:9" s="31" customFormat="1" x14ac:dyDescent="0.2">
      <c r="A134" s="31" t="s">
        <v>53</v>
      </c>
      <c r="B134" s="38"/>
      <c r="C134" s="32">
        <f t="shared" si="14"/>
        <v>13472.49696646443</v>
      </c>
      <c r="E134" s="31" t="s">
        <v>53</v>
      </c>
      <c r="F134" s="34"/>
      <c r="G134" s="32">
        <f t="shared" si="15"/>
        <v>16834.510716039091</v>
      </c>
      <c r="H134" s="32">
        <f t="shared" si="15"/>
        <v>15946.230829320843</v>
      </c>
      <c r="I134" s="32">
        <f t="shared" si="15"/>
        <v>15057.950942602596</v>
      </c>
    </row>
    <row r="135" spans="1:9" s="31" customFormat="1" x14ac:dyDescent="0.2">
      <c r="A135" s="31" t="s">
        <v>54</v>
      </c>
      <c r="B135" s="38"/>
      <c r="C135" s="32">
        <f t="shared" si="14"/>
        <v>17175.726949077965</v>
      </c>
      <c r="E135" s="31" t="s">
        <v>54</v>
      </c>
      <c r="F135" s="34"/>
      <c r="G135" s="32">
        <f t="shared" si="15"/>
        <v>21462.093267278018</v>
      </c>
      <c r="H135" s="32">
        <f t="shared" si="15"/>
        <v>20332.128090095615</v>
      </c>
      <c r="I135" s="32">
        <f t="shared" si="15"/>
        <v>19202.162912913216</v>
      </c>
    </row>
    <row r="136" spans="1:9" s="31" customFormat="1" x14ac:dyDescent="0.2">
      <c r="A136" s="31" t="s">
        <v>55</v>
      </c>
      <c r="B136" s="38"/>
      <c r="C136" s="32">
        <f t="shared" si="14"/>
        <v>19900.979159166367</v>
      </c>
      <c r="E136" s="31" t="s">
        <v>55</v>
      </c>
      <c r="F136" s="34"/>
      <c r="G136" s="32">
        <f t="shared" si="15"/>
        <v>24867.939621858237</v>
      </c>
      <c r="H136" s="32">
        <f t="shared" si="15"/>
        <v>23563.996920788504</v>
      </c>
      <c r="I136" s="32">
        <f t="shared" si="15"/>
        <v>22260.054219718771</v>
      </c>
    </row>
    <row r="137" spans="1:9" s="31" customFormat="1" x14ac:dyDescent="0.2">
      <c r="A137" s="31" t="s">
        <v>59</v>
      </c>
      <c r="B137" s="38"/>
      <c r="C137" s="32">
        <f t="shared" si="14"/>
        <v>34468</v>
      </c>
      <c r="E137" s="31" t="s">
        <v>59</v>
      </c>
      <c r="F137" s="34"/>
      <c r="G137" s="32">
        <f t="shared" si="15"/>
        <v>43073.909129049964</v>
      </c>
      <c r="H137" s="32">
        <f t="shared" si="15"/>
        <v>40851.454564524982</v>
      </c>
      <c r="I137" s="32">
        <f t="shared" si="15"/>
        <v>38629</v>
      </c>
    </row>
    <row r="138" spans="1:9" s="31" customFormat="1" x14ac:dyDescent="0.2">
      <c r="B138" s="38"/>
      <c r="C138" s="38"/>
      <c r="F138" s="34"/>
      <c r="G138" s="45"/>
      <c r="H138" s="45"/>
      <c r="I138" s="56"/>
    </row>
    <row r="139" spans="1:9" s="31" customFormat="1" x14ac:dyDescent="0.2">
      <c r="A139" s="21" t="s">
        <v>60</v>
      </c>
      <c r="B139" s="38"/>
      <c r="C139" s="62"/>
      <c r="F139" s="34"/>
      <c r="G139" s="45"/>
      <c r="H139" s="45"/>
      <c r="I139" s="56"/>
    </row>
    <row r="140" spans="1:9" s="31" customFormat="1" x14ac:dyDescent="0.2">
      <c r="A140" s="21" t="s">
        <v>49</v>
      </c>
      <c r="B140" s="38"/>
      <c r="C140" s="62"/>
      <c r="F140" s="34"/>
      <c r="G140" s="45"/>
      <c r="H140" s="45"/>
      <c r="I140" s="56"/>
    </row>
    <row r="141" spans="1:9" s="31" customFormat="1" x14ac:dyDescent="0.2">
      <c r="A141" s="31" t="s">
        <v>50</v>
      </c>
      <c r="B141" s="38"/>
      <c r="C141" s="38">
        <f>C113/C119</f>
        <v>8.2792580291602705E-2</v>
      </c>
      <c r="D141" s="38">
        <v>8.1339051044404476E-2</v>
      </c>
      <c r="E141" s="43">
        <f>+C141-D141</f>
        <v>1.4535292471982292E-3</v>
      </c>
      <c r="F141" s="43">
        <f t="shared" ref="F141:F146" si="16">+E141/C141</f>
        <v>1.7556274270940368E-2</v>
      </c>
      <c r="G141" s="45"/>
      <c r="H141" s="45"/>
      <c r="I141" s="56"/>
    </row>
    <row r="142" spans="1:9" s="31" customFormat="1" x14ac:dyDescent="0.2">
      <c r="A142" s="31" t="s">
        <v>51</v>
      </c>
      <c r="B142" s="38"/>
      <c r="C142" s="38">
        <f>C114/C119</f>
        <v>0.17578350171700585</v>
      </c>
      <c r="D142" s="38">
        <v>0.19117443629824318</v>
      </c>
      <c r="E142" s="43">
        <f t="shared" ref="E142:E147" si="17">+C142-D142</f>
        <v>-1.5390934581237331E-2</v>
      </c>
      <c r="F142" s="43">
        <f t="shared" si="16"/>
        <v>-8.7556195154282576E-2</v>
      </c>
      <c r="G142" s="45"/>
      <c r="H142" s="45"/>
      <c r="I142" s="56"/>
    </row>
    <row r="143" spans="1:9" s="31" customFormat="1" x14ac:dyDescent="0.2">
      <c r="A143" s="31" t="s">
        <v>52</v>
      </c>
      <c r="B143" s="38"/>
      <c r="C143" s="38">
        <f>C115/C119</f>
        <v>0.22277479004181824</v>
      </c>
      <c r="D143" s="38">
        <v>0.25084151796006826</v>
      </c>
      <c r="E143" s="43">
        <f t="shared" si="17"/>
        <v>-2.8066727918250017E-2</v>
      </c>
      <c r="F143" s="43">
        <f t="shared" si="16"/>
        <v>-0.12598700199866181</v>
      </c>
      <c r="G143" s="45"/>
      <c r="H143" s="45"/>
      <c r="I143" s="56"/>
    </row>
    <row r="144" spans="1:9" s="31" customFormat="1" x14ac:dyDescent="0.2">
      <c r="A144" s="31" t="s">
        <v>53</v>
      </c>
      <c r="B144" s="38"/>
      <c r="C144" s="38">
        <f>C116/C119</f>
        <v>0.31907810046074542</v>
      </c>
      <c r="D144" s="38">
        <v>0.37603172407433022</v>
      </c>
      <c r="E144" s="43">
        <f t="shared" si="17"/>
        <v>-5.6953623613584803E-2</v>
      </c>
      <c r="F144" s="43">
        <f t="shared" si="16"/>
        <v>-0.17849430447073733</v>
      </c>
      <c r="G144" s="45"/>
      <c r="H144" s="45"/>
      <c r="I144" s="56"/>
    </row>
    <row r="145" spans="1:9" s="31" customFormat="1" x14ac:dyDescent="0.2">
      <c r="A145" s="31" t="s">
        <v>54</v>
      </c>
      <c r="B145" s="38"/>
      <c r="C145" s="38">
        <f>C117/C119</f>
        <v>0.41586964818626249</v>
      </c>
      <c r="D145" s="38">
        <v>0.50477244432148294</v>
      </c>
      <c r="E145" s="43">
        <f t="shared" si="17"/>
        <v>-8.8902796135220452E-2</v>
      </c>
      <c r="F145" s="43">
        <f t="shared" si="16"/>
        <v>-0.21377563023162025</v>
      </c>
      <c r="G145" s="45"/>
      <c r="H145" s="45"/>
      <c r="I145" s="56"/>
    </row>
    <row r="146" spans="1:9" s="31" customFormat="1" x14ac:dyDescent="0.2">
      <c r="A146" s="31" t="s">
        <v>55</v>
      </c>
      <c r="B146" s="38"/>
      <c r="C146" s="38">
        <f>C118/C119</f>
        <v>0.50132498432265593</v>
      </c>
      <c r="D146" s="38">
        <v>0.60381795545718631</v>
      </c>
      <c r="E146" s="43">
        <f t="shared" si="17"/>
        <v>-0.10249297113453038</v>
      </c>
      <c r="F146" s="43">
        <f t="shared" si="16"/>
        <v>-0.20444417162453896</v>
      </c>
      <c r="G146" s="45"/>
      <c r="H146" s="45"/>
      <c r="I146" s="56"/>
    </row>
    <row r="147" spans="1:9" s="31" customFormat="1" x14ac:dyDescent="0.2">
      <c r="A147" s="31" t="s">
        <v>56</v>
      </c>
      <c r="B147" s="38"/>
      <c r="C147" s="38">
        <f>C119/C119</f>
        <v>1</v>
      </c>
      <c r="D147" s="38">
        <v>1</v>
      </c>
      <c r="E147" s="43">
        <f t="shared" si="17"/>
        <v>0</v>
      </c>
      <c r="F147" s="37"/>
      <c r="G147" s="45"/>
      <c r="H147" s="45"/>
      <c r="I147" s="56"/>
    </row>
    <row r="148" spans="1:9" s="31" customFormat="1" x14ac:dyDescent="0.2">
      <c r="B148" s="38"/>
      <c r="C148" s="38"/>
      <c r="D148" s="38"/>
      <c r="F148" s="37"/>
      <c r="G148" s="45"/>
      <c r="H148" s="45"/>
      <c r="I148" s="56"/>
    </row>
    <row r="149" spans="1:9" s="31" customFormat="1" x14ac:dyDescent="0.2">
      <c r="A149" s="21" t="s">
        <v>0</v>
      </c>
      <c r="B149" s="38"/>
      <c r="C149" s="38"/>
      <c r="D149" s="38"/>
      <c r="F149" s="37"/>
      <c r="G149" s="45"/>
      <c r="H149" s="45"/>
      <c r="I149" s="56"/>
    </row>
    <row r="150" spans="1:9" s="31" customFormat="1" x14ac:dyDescent="0.2">
      <c r="A150" s="31" t="s">
        <v>50</v>
      </c>
      <c r="B150" s="38"/>
      <c r="C150" s="38">
        <f>C122/C128</f>
        <v>0.19808450734347849</v>
      </c>
      <c r="D150" s="38">
        <v>0.26092220764806778</v>
      </c>
      <c r="E150" s="43">
        <f>+C150-D150</f>
        <v>-6.2837700304589295E-2</v>
      </c>
      <c r="F150" s="43">
        <f t="shared" ref="F150:F155" si="18">+E150/C150</f>
        <v>-0.31722672887096987</v>
      </c>
      <c r="G150" s="45"/>
      <c r="H150" s="45"/>
      <c r="I150" s="56"/>
    </row>
    <row r="151" spans="1:9" s="31" customFormat="1" x14ac:dyDescent="0.2">
      <c r="A151" s="31" t="s">
        <v>51</v>
      </c>
      <c r="B151" s="38"/>
      <c r="C151" s="38">
        <f>C123/C128</f>
        <v>0.34595648835756265</v>
      </c>
      <c r="D151" s="38">
        <v>0.45959035415195237</v>
      </c>
      <c r="E151" s="43">
        <f t="shared" ref="E151:E156" si="19">+C151-D151</f>
        <v>-0.11363386579438972</v>
      </c>
      <c r="F151" s="43">
        <f t="shared" si="18"/>
        <v>-0.32846288368190296</v>
      </c>
      <c r="G151" s="45"/>
      <c r="H151" s="45"/>
      <c r="I151" s="56"/>
    </row>
    <row r="152" spans="1:9" s="31" customFormat="1" x14ac:dyDescent="0.2">
      <c r="A152" s="31" t="s">
        <v>52</v>
      </c>
      <c r="B152" s="38"/>
      <c r="C152" s="38">
        <f>C124/C128</f>
        <v>0.41458783203594252</v>
      </c>
      <c r="D152" s="38">
        <v>0.54515185147815559</v>
      </c>
      <c r="E152" s="43">
        <f t="shared" si="19"/>
        <v>-0.13056401944221308</v>
      </c>
      <c r="F152" s="43">
        <f t="shared" si="18"/>
        <v>-0.31492487080733689</v>
      </c>
      <c r="G152" s="45"/>
      <c r="H152" s="45"/>
      <c r="I152" s="56"/>
    </row>
    <row r="153" spans="1:9" s="31" customFormat="1" x14ac:dyDescent="0.2">
      <c r="A153" s="31" t="s">
        <v>53</v>
      </c>
      <c r="B153" s="38"/>
      <c r="C153" s="38">
        <f>C125/C128</f>
        <v>0.55278729953360695</v>
      </c>
      <c r="D153" s="38">
        <v>0.69185753203511247</v>
      </c>
      <c r="E153" s="43">
        <f t="shared" si="19"/>
        <v>-0.13907023250150552</v>
      </c>
      <c r="F153" s="43">
        <f t="shared" si="18"/>
        <v>-0.25158000666592861</v>
      </c>
      <c r="G153" s="45"/>
      <c r="H153" s="45"/>
      <c r="I153" s="56"/>
    </row>
    <row r="154" spans="1:9" s="31" customFormat="1" x14ac:dyDescent="0.2">
      <c r="A154" s="31" t="s">
        <v>54</v>
      </c>
      <c r="B154" s="38"/>
      <c r="C154" s="38">
        <f>C126/C128</f>
        <v>0.6842425151482826</v>
      </c>
      <c r="D154" s="38">
        <v>0.81303602058319036</v>
      </c>
      <c r="E154" s="43">
        <f t="shared" si="19"/>
        <v>-0.12879350543490775</v>
      </c>
      <c r="F154" s="43">
        <f t="shared" si="18"/>
        <v>-0.18822786158939106</v>
      </c>
      <c r="G154" s="45"/>
      <c r="H154" s="45"/>
      <c r="I154" s="56"/>
    </row>
    <row r="155" spans="1:9" s="31" customFormat="1" x14ac:dyDescent="0.2">
      <c r="A155" s="31" t="s">
        <v>55</v>
      </c>
      <c r="B155" s="38"/>
      <c r="C155" s="38">
        <f>C127/C128</f>
        <v>0.74889861480367792</v>
      </c>
      <c r="D155" s="38">
        <v>0.86308142467964888</v>
      </c>
      <c r="E155" s="43">
        <f t="shared" si="19"/>
        <v>-0.11418280987597096</v>
      </c>
      <c r="F155" s="43">
        <f t="shared" si="18"/>
        <v>-0.15246764731418783</v>
      </c>
      <c r="G155" s="45"/>
      <c r="H155" s="45"/>
      <c r="I155" s="56"/>
    </row>
    <row r="156" spans="1:9" s="31" customFormat="1" x14ac:dyDescent="0.2">
      <c r="A156" s="31" t="s">
        <v>57</v>
      </c>
      <c r="B156" s="38"/>
      <c r="C156" s="38">
        <f>C128/C128</f>
        <v>1</v>
      </c>
      <c r="D156" s="38">
        <v>1</v>
      </c>
      <c r="E156" s="43">
        <f t="shared" si="19"/>
        <v>0</v>
      </c>
      <c r="F156" s="37"/>
      <c r="G156" s="45"/>
      <c r="H156" s="45"/>
      <c r="I156" s="56"/>
    </row>
    <row r="157" spans="1:9" s="31" customFormat="1" x14ac:dyDescent="0.2">
      <c r="B157" s="38"/>
      <c r="C157" s="38"/>
      <c r="D157" s="38"/>
      <c r="F157" s="37"/>
      <c r="G157" s="45"/>
      <c r="H157" s="45"/>
      <c r="I157" s="56"/>
    </row>
    <row r="158" spans="1:9" s="31" customFormat="1" x14ac:dyDescent="0.2">
      <c r="A158" s="21" t="s">
        <v>58</v>
      </c>
      <c r="B158" s="38"/>
      <c r="C158" s="38"/>
      <c r="D158" s="38"/>
      <c r="F158" s="37"/>
      <c r="G158" s="45"/>
      <c r="H158" s="45"/>
      <c r="I158" s="56"/>
    </row>
    <row r="159" spans="1:9" s="31" customFormat="1" x14ac:dyDescent="0.2">
      <c r="A159" s="31" t="s">
        <v>50</v>
      </c>
      <c r="B159" s="38"/>
      <c r="C159" s="38">
        <f>C131/C137</f>
        <v>0.11820835502832258</v>
      </c>
      <c r="D159" s="38">
        <v>0.13766694094562948</v>
      </c>
      <c r="E159" s="43">
        <f>+C159-D159</f>
        <v>-1.9458585917306898E-2</v>
      </c>
      <c r="F159" s="43">
        <f t="shared" ref="F159:F164" si="20">+E159/C159</f>
        <v>-0.16461261061153118</v>
      </c>
      <c r="G159" s="45"/>
      <c r="H159" s="45"/>
      <c r="I159" s="56"/>
    </row>
    <row r="160" spans="1:9" s="31" customFormat="1" x14ac:dyDescent="0.2">
      <c r="A160" s="31" t="s">
        <v>51</v>
      </c>
      <c r="B160" s="38"/>
      <c r="C160" s="38">
        <f>C132/C137</f>
        <v>0.22805783102390545</v>
      </c>
      <c r="D160" s="38">
        <v>0.27536552946389015</v>
      </c>
      <c r="E160" s="43">
        <f t="shared" ref="E160:E165" si="21">+C160-D160</f>
        <v>-4.7307698439984697E-2</v>
      </c>
      <c r="F160" s="43">
        <f t="shared" si="20"/>
        <v>-0.20743729003993647</v>
      </c>
      <c r="G160" s="45"/>
      <c r="H160" s="45"/>
      <c r="I160" s="56"/>
    </row>
    <row r="161" spans="1:9" s="31" customFormat="1" x14ac:dyDescent="0.2">
      <c r="A161" s="31" t="s">
        <v>52</v>
      </c>
      <c r="B161" s="38"/>
      <c r="C161" s="38">
        <f>C133/C137</f>
        <v>0.28169658674118547</v>
      </c>
      <c r="D161" s="38">
        <v>0.34315463003987595</v>
      </c>
      <c r="E161" s="43">
        <f t="shared" si="21"/>
        <v>-6.1458043298690479E-2</v>
      </c>
      <c r="F161" s="43">
        <f t="shared" si="20"/>
        <v>-0.21817106131696343</v>
      </c>
      <c r="G161" s="45"/>
      <c r="H161" s="45"/>
      <c r="I161" s="56"/>
    </row>
    <row r="162" spans="1:9" s="31" customFormat="1" x14ac:dyDescent="0.2">
      <c r="A162" s="31" t="s">
        <v>53</v>
      </c>
      <c r="B162" s="38"/>
      <c r="C162" s="38">
        <f>C134/C137</f>
        <v>0.39086970426089213</v>
      </c>
      <c r="D162" s="38">
        <v>0.47509336033926197</v>
      </c>
      <c r="E162" s="43">
        <f t="shared" si="21"/>
        <v>-8.4223656078369846E-2</v>
      </c>
      <c r="F162" s="43">
        <f t="shared" si="20"/>
        <v>-0.21547757516185864</v>
      </c>
      <c r="G162" s="45"/>
      <c r="H162" s="45"/>
      <c r="I162" s="56"/>
    </row>
    <row r="163" spans="1:9" s="31" customFormat="1" x14ac:dyDescent="0.2">
      <c r="A163" s="31" t="s">
        <v>54</v>
      </c>
      <c r="B163" s="38"/>
      <c r="C163" s="38">
        <f>C135/C137</f>
        <v>0.49830935792845438</v>
      </c>
      <c r="D163" s="38">
        <v>0.60146211785556047</v>
      </c>
      <c r="E163" s="43">
        <f t="shared" si="21"/>
        <v>-0.1031527599271061</v>
      </c>
      <c r="F163" s="43">
        <f t="shared" si="20"/>
        <v>-0.20700546414766793</v>
      </c>
      <c r="G163" s="45"/>
      <c r="H163" s="45"/>
      <c r="I163" s="56"/>
    </row>
    <row r="164" spans="1:9" s="31" customFormat="1" x14ac:dyDescent="0.2">
      <c r="A164" s="31" t="s">
        <v>55</v>
      </c>
      <c r="B164" s="38"/>
      <c r="C164" s="38">
        <f>C136/C137</f>
        <v>0.57737551233510409</v>
      </c>
      <c r="D164" s="38">
        <v>0.68513829989239827</v>
      </c>
      <c r="E164" s="43">
        <f t="shared" si="21"/>
        <v>-0.10776278755729418</v>
      </c>
      <c r="F164" s="43">
        <f t="shared" si="20"/>
        <v>-0.1866424627561093</v>
      </c>
      <c r="G164" s="45"/>
      <c r="H164" s="45"/>
      <c r="I164" s="56"/>
    </row>
    <row r="165" spans="1:9" s="31" customFormat="1" x14ac:dyDescent="0.2">
      <c r="A165" s="31" t="s">
        <v>59</v>
      </c>
      <c r="B165" s="38"/>
      <c r="C165" s="38">
        <f>C137/C137</f>
        <v>1</v>
      </c>
      <c r="D165" s="38">
        <v>1</v>
      </c>
      <c r="E165" s="43">
        <f t="shared" si="21"/>
        <v>0</v>
      </c>
      <c r="F165" s="34"/>
      <c r="G165" s="45"/>
      <c r="H165" s="45"/>
      <c r="I165" s="56"/>
    </row>
    <row r="166" spans="1:9" s="31" customFormat="1" x14ac:dyDescent="0.2">
      <c r="B166" s="38"/>
      <c r="C166" s="38"/>
      <c r="F166" s="34"/>
      <c r="G166" s="45"/>
      <c r="H166" s="45"/>
      <c r="I166" s="56"/>
    </row>
    <row r="167" spans="1:9" x14ac:dyDescent="0.2">
      <c r="A167" s="31"/>
      <c r="B167" s="31"/>
      <c r="C167" s="31"/>
      <c r="D167" s="31"/>
      <c r="E167" s="31"/>
      <c r="F167" s="31"/>
      <c r="G167" s="31"/>
      <c r="H167" s="31"/>
      <c r="I167" s="31"/>
    </row>
    <row r="168" spans="1:9" x14ac:dyDescent="0.2">
      <c r="A168" s="31"/>
      <c r="B168" s="31"/>
      <c r="C168" s="31"/>
      <c r="D168" s="31"/>
      <c r="E168" s="31"/>
      <c r="F168" s="31"/>
      <c r="G168" s="31"/>
      <c r="H168" s="31"/>
      <c r="I168" s="31"/>
    </row>
    <row r="169" spans="1:9" x14ac:dyDescent="0.2">
      <c r="A169" s="31"/>
      <c r="B169" s="31"/>
      <c r="C169" s="31"/>
      <c r="D169" s="31"/>
      <c r="E169" s="31"/>
      <c r="F169" s="31"/>
      <c r="G169" s="31"/>
      <c r="H169" s="31"/>
      <c r="I169" s="31"/>
    </row>
    <row r="170" spans="1:9" x14ac:dyDescent="0.2">
      <c r="A170" s="31"/>
      <c r="B170" s="31"/>
      <c r="C170" s="31"/>
      <c r="D170" s="31"/>
      <c r="E170" s="31"/>
      <c r="F170" s="31"/>
      <c r="G170" s="31"/>
      <c r="H170" s="31"/>
      <c r="I170" s="31"/>
    </row>
    <row r="171" spans="1:9" x14ac:dyDescent="0.2">
      <c r="A171" s="31"/>
      <c r="B171" s="31"/>
      <c r="C171" s="31"/>
      <c r="D171" s="31"/>
      <c r="E171" s="31"/>
      <c r="F171" s="31"/>
      <c r="G171" s="31"/>
      <c r="H171" s="31"/>
      <c r="I171" s="31"/>
    </row>
    <row r="172" spans="1:9" x14ac:dyDescent="0.2">
      <c r="A172" s="31"/>
      <c r="B172" s="31"/>
      <c r="C172" s="31"/>
      <c r="D172" s="31"/>
      <c r="E172" s="31"/>
      <c r="F172" s="31"/>
      <c r="G172" s="31"/>
      <c r="H172" s="31"/>
      <c r="I172" s="31"/>
    </row>
    <row r="173" spans="1:9" x14ac:dyDescent="0.2">
      <c r="A173" s="31"/>
      <c r="B173" s="31"/>
      <c r="C173" s="31"/>
      <c r="D173" s="31"/>
      <c r="E173" s="31"/>
      <c r="F173" s="31"/>
      <c r="G173" s="31"/>
      <c r="H173" s="31"/>
      <c r="I173" s="31"/>
    </row>
    <row r="174" spans="1:9" x14ac:dyDescent="0.2">
      <c r="A174" s="31"/>
      <c r="B174" s="31"/>
      <c r="C174" s="31"/>
      <c r="D174" s="31"/>
      <c r="E174" s="31"/>
      <c r="F174" s="31"/>
      <c r="G174" s="31"/>
      <c r="H174" s="31"/>
      <c r="I174" s="31"/>
    </row>
    <row r="175" spans="1:9" x14ac:dyDescent="0.2">
      <c r="A175" s="31"/>
      <c r="B175" s="31"/>
      <c r="C175" s="31"/>
      <c r="D175" s="31"/>
      <c r="E175" s="31"/>
      <c r="F175" s="31"/>
      <c r="G175" s="31"/>
      <c r="H175" s="31"/>
      <c r="I175" s="31"/>
    </row>
    <row r="176" spans="1:9" x14ac:dyDescent="0.2">
      <c r="A176" s="31"/>
      <c r="B176" s="31"/>
      <c r="C176" s="31"/>
      <c r="D176" s="31"/>
      <c r="E176" s="31"/>
      <c r="F176" s="31"/>
      <c r="G176" s="31"/>
      <c r="H176" s="31"/>
      <c r="I176" s="31"/>
    </row>
    <row r="177" spans="1:9" x14ac:dyDescent="0.2">
      <c r="A177" s="31"/>
      <c r="B177" s="31"/>
      <c r="C177" s="31"/>
      <c r="D177" s="31"/>
      <c r="E177" s="31"/>
      <c r="F177" s="31"/>
      <c r="G177" s="31"/>
      <c r="H177" s="31"/>
      <c r="I177" s="31"/>
    </row>
    <row r="178" spans="1:9" x14ac:dyDescent="0.2">
      <c r="A178" s="31"/>
      <c r="B178" s="31"/>
      <c r="C178" s="31"/>
      <c r="D178" s="31"/>
      <c r="E178" s="31"/>
      <c r="F178" s="31"/>
      <c r="G178" s="31"/>
      <c r="H178" s="31"/>
      <c r="I178" s="31"/>
    </row>
    <row r="179" spans="1:9" x14ac:dyDescent="0.2">
      <c r="A179" s="31"/>
      <c r="B179" s="31"/>
      <c r="C179" s="31"/>
      <c r="D179" s="31"/>
      <c r="E179" s="31"/>
      <c r="F179" s="31"/>
      <c r="G179" s="31"/>
      <c r="H179" s="31"/>
      <c r="I179" s="31"/>
    </row>
    <row r="180" spans="1:9" x14ac:dyDescent="0.2">
      <c r="A180" s="31"/>
      <c r="B180" s="31"/>
      <c r="C180" s="31"/>
      <c r="D180" s="31"/>
      <c r="E180" s="31"/>
      <c r="F180" s="31"/>
      <c r="G180" s="31"/>
      <c r="H180" s="31"/>
      <c r="I180" s="31"/>
    </row>
    <row r="181" spans="1:9" x14ac:dyDescent="0.2">
      <c r="A181" s="31"/>
      <c r="B181" s="31"/>
      <c r="C181" s="31"/>
      <c r="D181" s="31"/>
      <c r="E181" s="31"/>
      <c r="F181" s="31"/>
      <c r="G181" s="31"/>
      <c r="H181" s="31"/>
      <c r="I181" s="31"/>
    </row>
    <row r="182" spans="1:9" x14ac:dyDescent="0.2">
      <c r="A182" s="31"/>
      <c r="B182" s="31"/>
      <c r="C182" s="31"/>
      <c r="D182" s="31"/>
      <c r="E182" s="31"/>
      <c r="F182" s="31"/>
      <c r="G182" s="31"/>
      <c r="H182" s="31"/>
      <c r="I182" s="31"/>
    </row>
    <row r="183" spans="1:9" x14ac:dyDescent="0.2">
      <c r="A183" s="31"/>
      <c r="B183" s="31"/>
      <c r="C183" s="31"/>
      <c r="D183" s="31"/>
      <c r="E183" s="31"/>
      <c r="F183" s="31"/>
      <c r="G183" s="31"/>
      <c r="H183" s="31"/>
      <c r="I183" s="31"/>
    </row>
    <row r="184" spans="1:9" x14ac:dyDescent="0.2">
      <c r="A184" s="31"/>
      <c r="B184" s="31"/>
      <c r="C184" s="31"/>
      <c r="D184" s="31"/>
      <c r="E184" s="31"/>
      <c r="F184" s="31"/>
      <c r="G184" s="31"/>
      <c r="H184" s="31"/>
      <c r="I184" s="31"/>
    </row>
    <row r="185" spans="1:9" x14ac:dyDescent="0.2">
      <c r="A185" s="31"/>
      <c r="B185" s="31"/>
      <c r="C185" s="31"/>
      <c r="D185" s="31"/>
      <c r="E185" s="31"/>
      <c r="F185" s="31"/>
      <c r="G185" s="31"/>
      <c r="H185" s="31"/>
      <c r="I185" s="31"/>
    </row>
    <row r="186" spans="1:9" x14ac:dyDescent="0.2">
      <c r="A186" s="31"/>
      <c r="B186" s="31"/>
      <c r="C186" s="31"/>
      <c r="D186" s="31"/>
      <c r="E186" s="31"/>
      <c r="F186" s="31"/>
      <c r="G186" s="31"/>
      <c r="H186" s="31"/>
      <c r="I186" s="31"/>
    </row>
    <row r="187" spans="1:9" x14ac:dyDescent="0.2">
      <c r="A187" s="31"/>
      <c r="B187" s="31"/>
      <c r="C187" s="31"/>
      <c r="D187" s="31"/>
      <c r="E187" s="31"/>
      <c r="F187" s="31"/>
      <c r="G187" s="31"/>
      <c r="H187" s="31"/>
      <c r="I187" s="31"/>
    </row>
    <row r="188" spans="1:9" x14ac:dyDescent="0.2">
      <c r="A188" s="31"/>
      <c r="B188" s="31"/>
      <c r="C188" s="31"/>
      <c r="D188" s="31"/>
      <c r="E188" s="31"/>
      <c r="F188" s="31"/>
      <c r="G188" s="31"/>
      <c r="H188" s="31"/>
      <c r="I188" s="31"/>
    </row>
    <row r="189" spans="1:9" x14ac:dyDescent="0.2">
      <c r="A189" s="31"/>
      <c r="B189" s="31"/>
      <c r="C189" s="31"/>
      <c r="D189" s="31"/>
      <c r="E189" s="31"/>
      <c r="F189" s="31"/>
      <c r="G189" s="31"/>
      <c r="H189" s="31"/>
      <c r="I189" s="31"/>
    </row>
    <row r="190" spans="1:9" x14ac:dyDescent="0.2">
      <c r="A190" s="31"/>
      <c r="B190" s="31"/>
      <c r="C190" s="31"/>
      <c r="D190" s="31"/>
      <c r="E190" s="31"/>
      <c r="F190" s="31"/>
      <c r="G190" s="31"/>
      <c r="H190" s="31"/>
      <c r="I190" s="31"/>
    </row>
    <row r="191" spans="1:9" x14ac:dyDescent="0.2">
      <c r="A191" s="31"/>
      <c r="B191" s="31"/>
      <c r="C191" s="31"/>
      <c r="D191" s="31"/>
      <c r="E191" s="31"/>
      <c r="F191" s="31"/>
      <c r="G191" s="31"/>
      <c r="H191" s="31"/>
      <c r="I191" s="31"/>
    </row>
    <row r="192" spans="1:9" x14ac:dyDescent="0.2">
      <c r="A192" s="31"/>
      <c r="B192" s="31"/>
      <c r="C192" s="31"/>
      <c r="D192" s="31"/>
      <c r="E192" s="31"/>
      <c r="F192" s="31"/>
      <c r="G192" s="31"/>
      <c r="H192" s="31"/>
      <c r="I192" s="31"/>
    </row>
    <row r="193" spans="1:9" x14ac:dyDescent="0.2">
      <c r="A193" s="31"/>
      <c r="B193" s="31"/>
      <c r="C193" s="31"/>
      <c r="D193" s="31"/>
      <c r="E193" s="31"/>
      <c r="F193" s="31"/>
      <c r="G193" s="31"/>
      <c r="H193" s="31"/>
      <c r="I193" s="31"/>
    </row>
    <row r="194" spans="1:9" x14ac:dyDescent="0.2">
      <c r="A194" s="31"/>
      <c r="B194" s="31"/>
      <c r="C194" s="31"/>
      <c r="D194" s="31"/>
      <c r="E194" s="31"/>
      <c r="F194" s="31"/>
      <c r="G194" s="31"/>
      <c r="H194" s="31"/>
      <c r="I194" s="31"/>
    </row>
    <row r="195" spans="1:9" x14ac:dyDescent="0.2">
      <c r="A195" s="31"/>
      <c r="B195" s="31"/>
      <c r="C195" s="31"/>
      <c r="D195" s="31"/>
      <c r="E195" s="31"/>
      <c r="F195" s="31"/>
      <c r="G195" s="31"/>
      <c r="H195" s="31"/>
      <c r="I195" s="31"/>
    </row>
    <row r="196" spans="1:9" x14ac:dyDescent="0.2">
      <c r="A196" s="31"/>
      <c r="B196" s="31"/>
      <c r="C196" s="31"/>
      <c r="D196" s="31"/>
      <c r="E196" s="31"/>
      <c r="F196" s="31"/>
      <c r="G196" s="31"/>
      <c r="H196" s="31"/>
      <c r="I196" s="31"/>
    </row>
    <row r="197" spans="1:9" x14ac:dyDescent="0.2">
      <c r="A197" s="31"/>
      <c r="B197" s="31"/>
      <c r="C197" s="31"/>
      <c r="D197" s="31"/>
      <c r="E197" s="31"/>
      <c r="F197" s="31"/>
      <c r="G197" s="31"/>
      <c r="H197" s="31"/>
      <c r="I197" s="31"/>
    </row>
    <row r="198" spans="1:9" x14ac:dyDescent="0.2">
      <c r="A198" s="31"/>
      <c r="B198" s="31"/>
      <c r="C198" s="31"/>
      <c r="D198" s="31"/>
      <c r="E198" s="31"/>
      <c r="F198" s="31"/>
      <c r="G198" s="31"/>
      <c r="H198" s="31"/>
      <c r="I198" s="31"/>
    </row>
    <row r="199" spans="1:9" x14ac:dyDescent="0.2">
      <c r="A199" s="31"/>
      <c r="B199" s="31"/>
      <c r="C199" s="31"/>
      <c r="D199" s="31"/>
      <c r="E199" s="31"/>
      <c r="F199" s="31"/>
      <c r="G199" s="31"/>
      <c r="H199" s="31"/>
      <c r="I199" s="31"/>
    </row>
    <row r="200" spans="1:9" x14ac:dyDescent="0.2">
      <c r="A200" s="31"/>
      <c r="B200" s="31"/>
      <c r="C200" s="31"/>
      <c r="D200" s="31"/>
      <c r="E200" s="31"/>
      <c r="F200" s="31"/>
      <c r="G200" s="31"/>
      <c r="H200" s="31"/>
      <c r="I200" s="31"/>
    </row>
    <row r="201" spans="1:9" x14ac:dyDescent="0.2">
      <c r="A201" s="31"/>
      <c r="B201" s="31"/>
      <c r="C201" s="31"/>
      <c r="D201" s="31"/>
      <c r="E201" s="31"/>
      <c r="F201" s="31"/>
      <c r="G201" s="31"/>
      <c r="H201" s="31"/>
      <c r="I201" s="31"/>
    </row>
    <row r="202" spans="1:9" x14ac:dyDescent="0.2">
      <c r="A202" s="31"/>
      <c r="B202" s="31"/>
      <c r="C202" s="31"/>
      <c r="D202" s="31"/>
      <c r="E202" s="31"/>
      <c r="F202" s="31"/>
      <c r="G202" s="31"/>
      <c r="H202" s="31"/>
      <c r="I202" s="31"/>
    </row>
    <row r="203" spans="1:9" x14ac:dyDescent="0.2">
      <c r="A203" s="31"/>
      <c r="B203" s="31"/>
      <c r="C203" s="31"/>
      <c r="D203" s="31"/>
      <c r="E203" s="31"/>
      <c r="F203" s="31"/>
      <c r="G203" s="31"/>
      <c r="H203" s="31"/>
      <c r="I203" s="31"/>
    </row>
    <row r="204" spans="1:9" x14ac:dyDescent="0.2">
      <c r="A204" s="31"/>
      <c r="B204" s="31"/>
      <c r="C204" s="31"/>
      <c r="D204" s="31"/>
      <c r="E204" s="31"/>
      <c r="F204" s="31"/>
      <c r="G204" s="31"/>
      <c r="H204" s="31"/>
      <c r="I204" s="31"/>
    </row>
    <row r="205" spans="1:9" x14ac:dyDescent="0.2">
      <c r="A205" s="31"/>
      <c r="B205" s="31"/>
      <c r="C205" s="31"/>
      <c r="D205" s="31"/>
      <c r="E205" s="31"/>
      <c r="F205" s="31"/>
      <c r="G205" s="31"/>
      <c r="H205" s="31"/>
      <c r="I205" s="31"/>
    </row>
    <row r="206" spans="1:9" x14ac:dyDescent="0.2">
      <c r="A206" s="31"/>
      <c r="B206" s="31"/>
      <c r="C206" s="31"/>
      <c r="D206" s="31"/>
      <c r="E206" s="31"/>
      <c r="F206" s="31"/>
      <c r="G206" s="31"/>
      <c r="H206" s="31"/>
      <c r="I206" s="31"/>
    </row>
    <row r="207" spans="1:9" x14ac:dyDescent="0.2">
      <c r="A207" s="31"/>
      <c r="B207" s="31"/>
      <c r="C207" s="31"/>
      <c r="D207" s="31"/>
      <c r="E207" s="31"/>
      <c r="F207" s="31"/>
      <c r="G207" s="31"/>
      <c r="H207" s="31"/>
      <c r="I207" s="31"/>
    </row>
    <row r="208" spans="1:9" x14ac:dyDescent="0.2">
      <c r="A208" s="31"/>
      <c r="B208" s="31"/>
      <c r="C208" s="31"/>
      <c r="D208" s="31"/>
      <c r="E208" s="31"/>
      <c r="F208" s="31"/>
      <c r="G208" s="31"/>
      <c r="H208" s="31"/>
      <c r="I208" s="31"/>
    </row>
    <row r="209" spans="1:9" x14ac:dyDescent="0.2">
      <c r="A209" s="31"/>
      <c r="B209" s="31"/>
      <c r="C209" s="31"/>
      <c r="D209" s="31"/>
      <c r="E209" s="31"/>
      <c r="F209" s="31"/>
      <c r="G209" s="31"/>
      <c r="H209" s="31"/>
      <c r="I209" s="31"/>
    </row>
  </sheetData>
  <mergeCells count="1">
    <mergeCell ref="I2:I21"/>
  </mergeCells>
  <phoneticPr fontId="0" type="noConversion"/>
  <printOptions horizontalCentered="1" verticalCentered="1"/>
  <pageMargins left="0.75" right="0.75" top="0.75" bottom="0.75" header="0.5" footer="0.5"/>
  <pageSetup scale="70" orientation="landscape" horizontalDpi="4294967293" verticalDpi="300" r:id="rId1"/>
  <headerFooter alignWithMargins="0">
    <oddFooter>&amp;R&amp;P of &amp;N</oddFooter>
  </headerFooter>
  <rowBreaks count="4" manualBreakCount="4">
    <brk id="43" max="8" man="1"/>
    <brk id="77" max="8" man="1"/>
    <brk id="108" max="16383" man="1"/>
    <brk id="1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16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24</vt:i4>
      </vt:variant>
    </vt:vector>
  </HeadingPairs>
  <TitlesOfParts>
    <vt:vector size="41" baseType="lpstr">
      <vt:lpstr>Sheet1</vt:lpstr>
      <vt:lpstr>PRODUCTION NEED SUMMARY</vt:lpstr>
      <vt:lpstr>prod need components</vt:lpstr>
      <vt:lpstr>STATE TOTALS</vt:lpstr>
      <vt:lpstr>BELKNAP</vt:lpstr>
      <vt:lpstr>CARROLL</vt:lpstr>
      <vt:lpstr>CHESHIRE</vt:lpstr>
      <vt:lpstr>COOS</vt:lpstr>
      <vt:lpstr>GRAFTON</vt:lpstr>
      <vt:lpstr>HILLSBOROUGH</vt:lpstr>
      <vt:lpstr>MERRIMACK</vt:lpstr>
      <vt:lpstr>ROCKINGHAM</vt:lpstr>
      <vt:lpstr>STRAFFORD</vt:lpstr>
      <vt:lpstr>SULLIVAN</vt:lpstr>
      <vt:lpstr>mETHOD</vt:lpstr>
      <vt:lpstr>data sources by model line #</vt:lpstr>
      <vt:lpstr>Chart1</vt:lpstr>
      <vt:lpstr>BELKNAP!Print_Area</vt:lpstr>
      <vt:lpstr>CARROLL!Print_Area</vt:lpstr>
      <vt:lpstr>CHESHIRE!Print_Area</vt:lpstr>
      <vt:lpstr>COOS!Print_Area</vt:lpstr>
      <vt:lpstr>GRAFTON!Print_Area</vt:lpstr>
      <vt:lpstr>HILLSBOROUGH!Print_Area</vt:lpstr>
      <vt:lpstr>MERRIMACK!Print_Area</vt:lpstr>
      <vt:lpstr>'PRODUCTION NEED SUMMARY'!Print_Area</vt:lpstr>
      <vt:lpstr>ROCKINGHAM!Print_Area</vt:lpstr>
      <vt:lpstr>'STATE TOTALS'!Print_Area</vt:lpstr>
      <vt:lpstr>STRAFFORD!Print_Area</vt:lpstr>
      <vt:lpstr>SULLIVAN!Print_Area</vt:lpstr>
      <vt:lpstr>BELKNAP!Print_Titles</vt:lpstr>
      <vt:lpstr>CARROLL!Print_Titles</vt:lpstr>
      <vt:lpstr>CHESHIRE!Print_Titles</vt:lpstr>
      <vt:lpstr>COOS!Print_Titles</vt:lpstr>
      <vt:lpstr>GRAFTON!Print_Titles</vt:lpstr>
      <vt:lpstr>HILLSBOROUGH!Print_Titles</vt:lpstr>
      <vt:lpstr>MERRIMACK!Print_Titles</vt:lpstr>
      <vt:lpstr>'PRODUCTION NEED SUMMARY'!Print_Titles</vt:lpstr>
      <vt:lpstr>ROCKINGHAM!Print_Titles</vt:lpstr>
      <vt:lpstr>'STATE TOTALS'!Print_Titles</vt:lpstr>
      <vt:lpstr>STRAFFORD!Print_Titles</vt:lpstr>
      <vt:lpstr>SULLIVAN!Print_Titles</vt:lpstr>
    </vt:vector>
  </TitlesOfParts>
  <Company>Planning Consultant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C. Mayberry</dc:creator>
  <cp:lastModifiedBy>Dan Smith</cp:lastModifiedBy>
  <cp:lastPrinted>2014-02-04T16:07:50Z</cp:lastPrinted>
  <dcterms:created xsi:type="dcterms:W3CDTF">2002-10-04T17:20:45Z</dcterms:created>
  <dcterms:modified xsi:type="dcterms:W3CDTF">2014-04-07T19:10:29Z</dcterms:modified>
</cp:coreProperties>
</file>